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385" windowHeight="9645"/>
  </bookViews>
  <sheets>
    <sheet name="Historical" sheetId="5" r:id="rId1"/>
    <sheet name="Historical CF" sheetId="6" r:id="rId2"/>
    <sheet name="Forecast" sheetId="7" r:id="rId3"/>
    <sheet name="Assumptions" sheetId="8" r:id="rId4"/>
  </sheets>
  <definedNames>
    <definedName name="_xlnm.Print_Area" localSheetId="3">Assumptions!$A$1:$O$59</definedName>
    <definedName name="_xlnm.Print_Area" localSheetId="2">Forecast!$A$1:$W$152</definedName>
    <definedName name="_xlnm.Print_Area" localSheetId="0">Historical!$A$1:$AO$157</definedName>
    <definedName name="_xlnm.Print_Area" localSheetId="1">'Historical CF'!$A$1:$T$121</definedName>
  </definedNames>
  <calcPr calcId="152511" calcMode="manual" iterate="1" iterateCount="1"/>
</workbook>
</file>

<file path=xl/calcChain.xml><?xml version="1.0" encoding="utf-8"?>
<calcChain xmlns="http://schemas.openxmlformats.org/spreadsheetml/2006/main">
  <c r="N10" i="8" l="1"/>
  <c r="S136" i="5" l="1"/>
  <c r="S135" i="5"/>
  <c r="S131" i="5"/>
  <c r="S132" i="5"/>
  <c r="S130" i="5"/>
  <c r="S120" i="5"/>
  <c r="S119" i="5"/>
  <c r="S92" i="5"/>
  <c r="S62" i="5"/>
  <c r="S53" i="5"/>
  <c r="S47" i="5"/>
  <c r="S45" i="5"/>
  <c r="S16" i="5"/>
  <c r="S15" i="5"/>
  <c r="L131" i="5" l="1"/>
  <c r="K131" i="5"/>
  <c r="J131" i="5"/>
  <c r="I131" i="5"/>
  <c r="H131" i="5"/>
  <c r="G131" i="5"/>
  <c r="F131" i="5"/>
  <c r="E131" i="5"/>
  <c r="D131" i="5"/>
  <c r="C131" i="5"/>
  <c r="B131" i="5"/>
  <c r="N132" i="5"/>
  <c r="O132" i="5"/>
  <c r="P132" i="5"/>
  <c r="Q132" i="5"/>
  <c r="M132" i="5"/>
  <c r="N131" i="5"/>
  <c r="O131" i="5"/>
  <c r="P131" i="5"/>
  <c r="Q131" i="5"/>
  <c r="M131" i="5"/>
  <c r="R136" i="5" l="1"/>
  <c r="R135" i="5"/>
  <c r="R120" i="5"/>
  <c r="R119" i="5"/>
  <c r="N77" i="8" l="1"/>
  <c r="E20" i="7" l="1"/>
  <c r="E79" i="7" l="1"/>
  <c r="F79" i="7" s="1"/>
  <c r="N83" i="8"/>
  <c r="O83" i="8" s="1"/>
  <c r="C73" i="8"/>
  <c r="D79" i="7"/>
  <c r="C26" i="7"/>
  <c r="C20" i="7"/>
  <c r="C61" i="8"/>
  <c r="C77" i="8"/>
  <c r="N68" i="8"/>
  <c r="N67" i="8"/>
  <c r="L64" i="8"/>
  <c r="L82" i="8" s="1"/>
  <c r="L67" i="8"/>
  <c r="M67" i="8"/>
  <c r="L68" i="8"/>
  <c r="M68" i="8"/>
  <c r="L73" i="8"/>
  <c r="M73" i="8"/>
  <c r="L77" i="8"/>
  <c r="M77" i="8"/>
  <c r="L83" i="8"/>
  <c r="M83" i="8"/>
  <c r="L38" i="8"/>
  <c r="M38" i="8"/>
  <c r="L39" i="8"/>
  <c r="M39" i="8"/>
  <c r="L40" i="8"/>
  <c r="M40" i="8"/>
  <c r="L41" i="8"/>
  <c r="M41" i="8"/>
  <c r="L42" i="8"/>
  <c r="M42" i="8"/>
  <c r="L43" i="8"/>
  <c r="M43" i="8"/>
  <c r="L46" i="8"/>
  <c r="M46" i="8"/>
  <c r="L47" i="8"/>
  <c r="M47" i="8"/>
  <c r="C47" i="8" s="1"/>
  <c r="L48" i="8"/>
  <c r="M48" i="8"/>
  <c r="L49" i="8"/>
  <c r="M49" i="8"/>
  <c r="N26" i="8"/>
  <c r="H32" i="8"/>
  <c r="I32" i="8"/>
  <c r="J32" i="8"/>
  <c r="K32" i="8"/>
  <c r="L32" i="8"/>
  <c r="N32" i="8" s="1"/>
  <c r="C32" i="8" s="1"/>
  <c r="M32" i="8"/>
  <c r="F24" i="8"/>
  <c r="M24" i="8"/>
  <c r="L24" i="8"/>
  <c r="L10" i="8"/>
  <c r="M10" i="8"/>
  <c r="L12" i="8"/>
  <c r="M12" i="8"/>
  <c r="L14" i="8"/>
  <c r="M14" i="8"/>
  <c r="M3" i="8"/>
  <c r="M26" i="8" s="1"/>
  <c r="L3" i="8"/>
  <c r="L37" i="8" s="1"/>
  <c r="L45" i="8" s="1"/>
  <c r="C83" i="8" l="1"/>
  <c r="C95" i="7"/>
  <c r="M37" i="8"/>
  <c r="M45" i="8" s="1"/>
  <c r="M64" i="8" s="1"/>
  <c r="M82" i="8" s="1"/>
  <c r="L26" i="8"/>
  <c r="R22" i="6"/>
  <c r="Q70" i="6"/>
  <c r="Q58" i="6"/>
  <c r="R57" i="6" s="1"/>
  <c r="T57" i="6" s="1"/>
  <c r="Q57" i="6"/>
  <c r="Q12" i="6"/>
  <c r="R9" i="6"/>
  <c r="T48" i="6" s="1"/>
  <c r="Q9" i="6"/>
  <c r="Q68" i="6" s="1"/>
  <c r="R89" i="5"/>
  <c r="T89" i="5" s="1"/>
  <c r="R62" i="5"/>
  <c r="R53" i="5"/>
  <c r="T53" i="5" s="1"/>
  <c r="R47" i="5"/>
  <c r="T47" i="5" s="1"/>
  <c r="R45" i="5"/>
  <c r="R16" i="5"/>
  <c r="Q16" i="5"/>
  <c r="Q17" i="5" s="1"/>
  <c r="Q38" i="5" s="1"/>
  <c r="R15" i="5"/>
  <c r="T15" i="5" s="1"/>
  <c r="T53" i="6"/>
  <c r="T51" i="6"/>
  <c r="T50" i="6"/>
  <c r="T49" i="6"/>
  <c r="T46" i="6"/>
  <c r="T45" i="6"/>
  <c r="T35" i="6"/>
  <c r="T27" i="6"/>
  <c r="T26" i="6"/>
  <c r="T22" i="6"/>
  <c r="T19" i="6"/>
  <c r="T18" i="6"/>
  <c r="T101" i="5"/>
  <c r="T98" i="5"/>
  <c r="T92" i="5"/>
  <c r="T91" i="5"/>
  <c r="T90" i="5"/>
  <c r="T84" i="5"/>
  <c r="T83" i="5"/>
  <c r="T82" i="5"/>
  <c r="T81" i="5"/>
  <c r="T77" i="5"/>
  <c r="T62" i="5"/>
  <c r="T61" i="5"/>
  <c r="T58" i="5"/>
  <c r="T50" i="5"/>
  <c r="T52" i="5"/>
  <c r="T51" i="5"/>
  <c r="T46" i="5"/>
  <c r="T45" i="5"/>
  <c r="T44" i="5"/>
  <c r="T43" i="5"/>
  <c r="T42" i="5"/>
  <c r="T35" i="5"/>
  <c r="T34" i="5"/>
  <c r="T33" i="5"/>
  <c r="T32" i="5"/>
  <c r="T31" i="5"/>
  <c r="T26" i="5"/>
  <c r="T21" i="5"/>
  <c r="T20" i="5"/>
  <c r="T16" i="5"/>
  <c r="T14" i="5"/>
  <c r="T13" i="5"/>
  <c r="AL75" i="5"/>
  <c r="AL10" i="5"/>
  <c r="V6" i="5"/>
  <c r="V7" i="5"/>
  <c r="Q114" i="5"/>
  <c r="Q89" i="5"/>
  <c r="Q93" i="5" s="1"/>
  <c r="AL93" i="5" s="1"/>
  <c r="Q86" i="5"/>
  <c r="AL86" i="5" s="1"/>
  <c r="Q78" i="5"/>
  <c r="AL101" i="5" s="1"/>
  <c r="Q75" i="5"/>
  <c r="Q62" i="5"/>
  <c r="Q63" i="5" s="1"/>
  <c r="Q53" i="5"/>
  <c r="Q48" i="5"/>
  <c r="Q47" i="5"/>
  <c r="Q45" i="5"/>
  <c r="Q36" i="5"/>
  <c r="Q24" i="5"/>
  <c r="Q28" i="5" s="1"/>
  <c r="Q15" i="5"/>
  <c r="Q55" i="6"/>
  <c r="Q42" i="6"/>
  <c r="Q22" i="6"/>
  <c r="T20" i="6" l="1"/>
  <c r="AL53" i="5"/>
  <c r="AL48" i="5"/>
  <c r="Q144" i="5"/>
  <c r="Q139" i="5" s="1"/>
  <c r="Q125" i="5"/>
  <c r="AL63" i="5"/>
  <c r="AL58" i="5"/>
  <c r="AL34" i="5"/>
  <c r="AL22" i="5"/>
  <c r="AL32" i="5"/>
  <c r="AL44" i="5"/>
  <c r="AL33" i="5"/>
  <c r="AL21" i="5"/>
  <c r="AL43" i="5"/>
  <c r="AL20" i="5"/>
  <c r="AL42" i="5"/>
  <c r="AL31" i="5"/>
  <c r="AL14" i="5"/>
  <c r="AL61" i="5"/>
  <c r="AL47" i="5"/>
  <c r="AL35" i="5"/>
  <c r="AL23" i="5"/>
  <c r="AL13" i="5"/>
  <c r="AL51" i="5"/>
  <c r="AL38" i="5"/>
  <c r="AL16" i="5"/>
  <c r="AL50" i="5"/>
  <c r="AL26" i="5"/>
  <c r="AL15" i="5"/>
  <c r="Q37" i="5"/>
  <c r="AL37" i="5" s="1"/>
  <c r="AL28" i="5"/>
  <c r="AL36" i="5"/>
  <c r="AL45" i="5"/>
  <c r="Q117" i="5"/>
  <c r="AL84" i="5"/>
  <c r="Q118" i="5"/>
  <c r="AL85" i="5"/>
  <c r="AL82" i="5"/>
  <c r="AL91" i="5"/>
  <c r="AL102" i="5"/>
  <c r="AL24" i="5"/>
  <c r="AL62" i="5"/>
  <c r="AL83" i="5"/>
  <c r="AL92" i="5"/>
  <c r="Q54" i="5"/>
  <c r="Q87" i="5"/>
  <c r="AL97" i="5"/>
  <c r="AL77" i="5"/>
  <c r="AL78" i="5"/>
  <c r="AL89" i="5"/>
  <c r="Q119" i="5"/>
  <c r="AL17" i="5"/>
  <c r="AL98" i="5"/>
  <c r="AL81" i="5"/>
  <c r="AL90" i="5"/>
  <c r="A132" i="7"/>
  <c r="AL54" i="5" l="1"/>
  <c r="Q56" i="5"/>
  <c r="Q140" i="5"/>
  <c r="Q142" i="5" s="1"/>
  <c r="Q141" i="5"/>
  <c r="Q124" i="5"/>
  <c r="Q95" i="5"/>
  <c r="AL87" i="5"/>
  <c r="AL56" i="5" l="1"/>
  <c r="Q123" i="5"/>
  <c r="Q64" i="5"/>
  <c r="AL64" i="5" s="1"/>
  <c r="Q126" i="5"/>
  <c r="Q99" i="5"/>
  <c r="AL95" i="5"/>
  <c r="Q127" i="5"/>
  <c r="S58" i="6"/>
  <c r="S55" i="6"/>
  <c r="S42" i="6"/>
  <c r="S31" i="6"/>
  <c r="S93" i="5"/>
  <c r="S78" i="5"/>
  <c r="S86" i="5"/>
  <c r="S63" i="5"/>
  <c r="S54" i="5"/>
  <c r="S48" i="5"/>
  <c r="S36" i="5"/>
  <c r="S24" i="5"/>
  <c r="S28" i="5" s="1"/>
  <c r="S17" i="5"/>
  <c r="S87" i="5" l="1"/>
  <c r="S95" i="5" s="1"/>
  <c r="S99" i="5" s="1"/>
  <c r="S37" i="5"/>
  <c r="S38" i="5"/>
  <c r="AL99" i="5"/>
  <c r="S56" i="5"/>
  <c r="S123" i="5" s="1"/>
  <c r="A76" i="8"/>
  <c r="C74" i="8"/>
  <c r="K73" i="8"/>
  <c r="J73" i="8"/>
  <c r="I73" i="8"/>
  <c r="H73" i="8"/>
  <c r="G73" i="8"/>
  <c r="A71" i="8"/>
  <c r="A70" i="8"/>
  <c r="N69" i="8"/>
  <c r="A69" i="8"/>
  <c r="A68" i="8"/>
  <c r="K67" i="8"/>
  <c r="J67" i="8"/>
  <c r="I67" i="8"/>
  <c r="H67" i="8"/>
  <c r="G67" i="8"/>
  <c r="A67" i="8"/>
  <c r="C66" i="8"/>
  <c r="E66" i="8" s="1"/>
  <c r="A66" i="8"/>
  <c r="C65" i="8"/>
  <c r="C13" i="8" s="1"/>
  <c r="A65" i="8"/>
  <c r="A64" i="8"/>
  <c r="A62" i="8"/>
  <c r="A61" i="8"/>
  <c r="A59" i="8"/>
  <c r="A58" i="8"/>
  <c r="A57" i="8"/>
  <c r="A56" i="8"/>
  <c r="A55" i="8"/>
  <c r="A53" i="8"/>
  <c r="A51" i="8"/>
  <c r="A50" i="8"/>
  <c r="A49" i="8"/>
  <c r="K48" i="8"/>
  <c r="J48" i="8"/>
  <c r="I48" i="8"/>
  <c r="H48" i="8"/>
  <c r="G48" i="8"/>
  <c r="A48" i="8"/>
  <c r="A47" i="8"/>
  <c r="A46" i="8"/>
  <c r="A44" i="8"/>
  <c r="A43" i="8"/>
  <c r="A42" i="8"/>
  <c r="A41" i="8"/>
  <c r="K40" i="8"/>
  <c r="A40" i="8"/>
  <c r="A39" i="8"/>
  <c r="K38" i="8"/>
  <c r="J38" i="8"/>
  <c r="I38" i="8"/>
  <c r="H38" i="8"/>
  <c r="G38" i="8"/>
  <c r="A38" i="8"/>
  <c r="N37" i="8"/>
  <c r="A37" i="8"/>
  <c r="A35" i="8"/>
  <c r="A34" i="8"/>
  <c r="A33" i="8"/>
  <c r="A32" i="8"/>
  <c r="L31" i="8"/>
  <c r="M31" i="8" s="1"/>
  <c r="A31" i="8"/>
  <c r="A30" i="8"/>
  <c r="A29" i="8"/>
  <c r="A28" i="8"/>
  <c r="A27" i="8"/>
  <c r="A25" i="8"/>
  <c r="K24" i="8"/>
  <c r="J24" i="8"/>
  <c r="I24" i="8"/>
  <c r="H24" i="8"/>
  <c r="G24" i="8"/>
  <c r="A24" i="8"/>
  <c r="A23" i="8"/>
  <c r="A22" i="8"/>
  <c r="A21" i="8"/>
  <c r="A20" i="8"/>
  <c r="A18" i="8"/>
  <c r="A17" i="8"/>
  <c r="A15" i="8"/>
  <c r="A14" i="8"/>
  <c r="A13" i="8"/>
  <c r="A12" i="8"/>
  <c r="K10" i="8"/>
  <c r="A10" i="8"/>
  <c r="A9" i="8"/>
  <c r="K3" i="8"/>
  <c r="J3" i="8"/>
  <c r="J26" i="8" s="1"/>
  <c r="I3" i="8"/>
  <c r="I26" i="8" s="1"/>
  <c r="H3" i="8"/>
  <c r="G3" i="8"/>
  <c r="A146" i="7"/>
  <c r="A145" i="7"/>
  <c r="A144" i="7"/>
  <c r="A143" i="7"/>
  <c r="A141" i="7"/>
  <c r="A140" i="7"/>
  <c r="A139" i="7"/>
  <c r="A137" i="7"/>
  <c r="A136" i="7"/>
  <c r="A135" i="7"/>
  <c r="A134" i="7"/>
  <c r="A131" i="7"/>
  <c r="A130" i="7"/>
  <c r="A129" i="7"/>
  <c r="A128" i="7"/>
  <c r="A127" i="7"/>
  <c r="A125" i="7"/>
  <c r="A124" i="7"/>
  <c r="A123" i="7"/>
  <c r="A122" i="7"/>
  <c r="A121" i="7"/>
  <c r="A119" i="7"/>
  <c r="B105" i="7"/>
  <c r="K105" i="7" s="1"/>
  <c r="A105" i="7"/>
  <c r="A87" i="8" s="1"/>
  <c r="B104" i="7"/>
  <c r="A104" i="7"/>
  <c r="A102" i="7"/>
  <c r="M102" i="7" s="1"/>
  <c r="B101" i="7"/>
  <c r="A101" i="7"/>
  <c r="M101" i="7" s="1"/>
  <c r="B100" i="7"/>
  <c r="A100" i="7"/>
  <c r="M100" i="7" s="1"/>
  <c r="A98" i="7"/>
  <c r="A80" i="8" s="1"/>
  <c r="A96" i="7"/>
  <c r="A78" i="8" s="1"/>
  <c r="B95" i="7"/>
  <c r="A95" i="7"/>
  <c r="A77" i="8" s="1"/>
  <c r="M94" i="7"/>
  <c r="J93" i="7"/>
  <c r="I93" i="7"/>
  <c r="H93" i="7"/>
  <c r="G93" i="7"/>
  <c r="F93" i="7"/>
  <c r="E93" i="7"/>
  <c r="D93" i="7"/>
  <c r="C93" i="7"/>
  <c r="B93" i="7"/>
  <c r="A93" i="7"/>
  <c r="A75" i="8" s="1"/>
  <c r="B92" i="7"/>
  <c r="A92" i="7"/>
  <c r="A74" i="8" s="1"/>
  <c r="B91" i="7"/>
  <c r="A91" i="7"/>
  <c r="A73" i="8" s="1"/>
  <c r="A89" i="7"/>
  <c r="M89" i="7" s="1"/>
  <c r="A88" i="7"/>
  <c r="M88" i="7" s="1"/>
  <c r="B87" i="7"/>
  <c r="C87" i="7" s="1"/>
  <c r="A87" i="7"/>
  <c r="M87" i="7" s="1"/>
  <c r="M86" i="7"/>
  <c r="B86" i="7"/>
  <c r="A86" i="7"/>
  <c r="B85" i="7"/>
  <c r="A85" i="7"/>
  <c r="M85" i="7" s="1"/>
  <c r="B84" i="7"/>
  <c r="A84" i="7"/>
  <c r="M84" i="7" s="1"/>
  <c r="B83" i="7"/>
  <c r="A83" i="7"/>
  <c r="M83" i="7" s="1"/>
  <c r="A82" i="7"/>
  <c r="M82" i="7" s="1"/>
  <c r="C80" i="7"/>
  <c r="O83" i="7" s="1"/>
  <c r="A80" i="7"/>
  <c r="M80" i="7" s="1"/>
  <c r="B79" i="7"/>
  <c r="B80" i="7" s="1"/>
  <c r="A79" i="7"/>
  <c r="M79" i="7" s="1"/>
  <c r="A78" i="7"/>
  <c r="M78" i="7" s="1"/>
  <c r="N76" i="7"/>
  <c r="A65" i="7"/>
  <c r="M65" i="7" s="1"/>
  <c r="A64" i="7"/>
  <c r="M64" i="7" s="1"/>
  <c r="B63" i="7"/>
  <c r="A63" i="7"/>
  <c r="M63" i="7" s="1"/>
  <c r="B62" i="7"/>
  <c r="A62" i="7"/>
  <c r="M62" i="7" s="1"/>
  <c r="A61" i="7"/>
  <c r="M61" i="7" s="1"/>
  <c r="J59" i="7"/>
  <c r="I59" i="7"/>
  <c r="H59" i="7"/>
  <c r="G59" i="7"/>
  <c r="F59" i="7"/>
  <c r="E59" i="7"/>
  <c r="D59" i="7"/>
  <c r="C59" i="7"/>
  <c r="B59" i="7"/>
  <c r="K59" i="7" s="1"/>
  <c r="A59" i="7"/>
  <c r="M59" i="7" s="1"/>
  <c r="A57" i="7"/>
  <c r="M57" i="7" s="1"/>
  <c r="A55" i="7"/>
  <c r="M55" i="7" s="1"/>
  <c r="M54" i="7"/>
  <c r="B53" i="7"/>
  <c r="A53" i="7"/>
  <c r="C52" i="7"/>
  <c r="B52" i="7"/>
  <c r="A52" i="7"/>
  <c r="M52" i="7" s="1"/>
  <c r="B51" i="7"/>
  <c r="A51" i="7"/>
  <c r="M51" i="7" s="1"/>
  <c r="B50" i="7"/>
  <c r="A50" i="7"/>
  <c r="M50" i="7" s="1"/>
  <c r="A48" i="7"/>
  <c r="M48" i="7" s="1"/>
  <c r="B47" i="7"/>
  <c r="A47" i="7"/>
  <c r="M47" i="7" s="1"/>
  <c r="B46" i="7"/>
  <c r="A46" i="7"/>
  <c r="M46" i="7" s="1"/>
  <c r="B45" i="7"/>
  <c r="A45" i="7"/>
  <c r="M45" i="7" s="1"/>
  <c r="B44" i="7"/>
  <c r="A44" i="7"/>
  <c r="M44" i="7" s="1"/>
  <c r="B43" i="7"/>
  <c r="A43" i="7"/>
  <c r="M43" i="7" s="1"/>
  <c r="B42" i="7"/>
  <c r="A42" i="7"/>
  <c r="M42" i="7" s="1"/>
  <c r="A41" i="7"/>
  <c r="M41" i="7" s="1"/>
  <c r="A38" i="7"/>
  <c r="M38" i="7" s="1"/>
  <c r="A37" i="7"/>
  <c r="M37" i="7" s="1"/>
  <c r="A36" i="7"/>
  <c r="M36" i="7" s="1"/>
  <c r="B35" i="7"/>
  <c r="A35" i="7"/>
  <c r="M35" i="7" s="1"/>
  <c r="M34" i="7"/>
  <c r="B34" i="7"/>
  <c r="C34" i="7" s="1"/>
  <c r="D34" i="7" s="1"/>
  <c r="E34" i="7" s="1"/>
  <c r="F34" i="7" s="1"/>
  <c r="G34" i="7" s="1"/>
  <c r="H34" i="7" s="1"/>
  <c r="I34" i="7" s="1"/>
  <c r="J34" i="7" s="1"/>
  <c r="A34" i="7"/>
  <c r="B33" i="7"/>
  <c r="A33" i="7"/>
  <c r="M33" i="7" s="1"/>
  <c r="B32" i="7"/>
  <c r="C32" i="7" s="1"/>
  <c r="D32" i="7" s="1"/>
  <c r="E32" i="7" s="1"/>
  <c r="F32" i="7" s="1"/>
  <c r="G32" i="7" s="1"/>
  <c r="H32" i="7" s="1"/>
  <c r="I32" i="7" s="1"/>
  <c r="J32" i="7" s="1"/>
  <c r="A32" i="7"/>
  <c r="M32" i="7" s="1"/>
  <c r="C31" i="7"/>
  <c r="B31" i="7"/>
  <c r="A31" i="7"/>
  <c r="M31" i="7" s="1"/>
  <c r="A30" i="7"/>
  <c r="M30" i="7" s="1"/>
  <c r="A28" i="7"/>
  <c r="M28" i="7" s="1"/>
  <c r="B26" i="7"/>
  <c r="A26" i="7"/>
  <c r="M26" i="7" s="1"/>
  <c r="A24" i="7"/>
  <c r="M24" i="7" s="1"/>
  <c r="B23" i="7"/>
  <c r="C23" i="7" s="1"/>
  <c r="D23" i="7" s="1"/>
  <c r="E23" i="7" s="1"/>
  <c r="F23" i="7" s="1"/>
  <c r="G23" i="7" s="1"/>
  <c r="H23" i="7" s="1"/>
  <c r="I23" i="7" s="1"/>
  <c r="J23" i="7" s="1"/>
  <c r="A23" i="7"/>
  <c r="M23" i="7" s="1"/>
  <c r="B22" i="7"/>
  <c r="C22" i="7" s="1"/>
  <c r="D22" i="7" s="1"/>
  <c r="E22" i="7" s="1"/>
  <c r="F22" i="7" s="1"/>
  <c r="G22" i="7" s="1"/>
  <c r="H22" i="7" s="1"/>
  <c r="I22" i="7" s="1"/>
  <c r="J22" i="7" s="1"/>
  <c r="A22" i="7"/>
  <c r="M22" i="7" s="1"/>
  <c r="J21" i="7"/>
  <c r="I21" i="7"/>
  <c r="H21" i="7"/>
  <c r="G21" i="7"/>
  <c r="F21" i="7"/>
  <c r="E21" i="7"/>
  <c r="D21" i="7"/>
  <c r="C21" i="7"/>
  <c r="B21" i="7"/>
  <c r="K21" i="7" s="1"/>
  <c r="A21" i="7"/>
  <c r="M21" i="7" s="1"/>
  <c r="B20" i="7"/>
  <c r="A20" i="7"/>
  <c r="M20" i="7" s="1"/>
  <c r="A19" i="7"/>
  <c r="M19" i="7" s="1"/>
  <c r="A17" i="7"/>
  <c r="M17" i="7" s="1"/>
  <c r="B16" i="7"/>
  <c r="A16" i="7"/>
  <c r="M16" i="7" s="1"/>
  <c r="B15" i="7"/>
  <c r="A15" i="7"/>
  <c r="M15" i="7" s="1"/>
  <c r="B14" i="7"/>
  <c r="A14" i="7"/>
  <c r="M14" i="7" s="1"/>
  <c r="M13" i="7"/>
  <c r="B12" i="7"/>
  <c r="A12" i="7"/>
  <c r="M12" i="7" s="1"/>
  <c r="A11" i="7"/>
  <c r="M11" i="7" s="1"/>
  <c r="B9" i="7"/>
  <c r="A6" i="7"/>
  <c r="A112" i="7" s="1"/>
  <c r="A4" i="7"/>
  <c r="A110" i="7" s="1"/>
  <c r="A110" i="6"/>
  <c r="A90" i="6"/>
  <c r="A89" i="6"/>
  <c r="A88" i="6"/>
  <c r="A87" i="6"/>
  <c r="A86" i="6"/>
  <c r="A85" i="6"/>
  <c r="B81" i="6"/>
  <c r="S70" i="6"/>
  <c r="S119" i="6" s="1"/>
  <c r="M70" i="6"/>
  <c r="M98" i="6" s="1"/>
  <c r="D70" i="6"/>
  <c r="D90" i="6" s="1"/>
  <c r="B70" i="6"/>
  <c r="B109" i="6" s="1"/>
  <c r="S68" i="6"/>
  <c r="R68" i="6"/>
  <c r="P68" i="6"/>
  <c r="O68" i="6"/>
  <c r="L68" i="6"/>
  <c r="H68" i="6"/>
  <c r="G68" i="6"/>
  <c r="D68" i="6"/>
  <c r="C68" i="6"/>
  <c r="B68" i="6"/>
  <c r="R58" i="6"/>
  <c r="P58" i="6"/>
  <c r="O58" i="6"/>
  <c r="N58" i="6"/>
  <c r="M58" i="6"/>
  <c r="L58" i="6"/>
  <c r="H58" i="6"/>
  <c r="B58" i="6"/>
  <c r="N57" i="6"/>
  <c r="M57" i="6"/>
  <c r="L57" i="6"/>
  <c r="H57" i="6"/>
  <c r="L56" i="6"/>
  <c r="R55" i="6"/>
  <c r="P55" i="6"/>
  <c r="O55" i="6"/>
  <c r="N55" i="6"/>
  <c r="M55" i="6"/>
  <c r="L55" i="6"/>
  <c r="K55" i="6"/>
  <c r="J55" i="6"/>
  <c r="I55" i="6"/>
  <c r="H55" i="6"/>
  <c r="L53" i="6"/>
  <c r="J53" i="6"/>
  <c r="J46" i="6"/>
  <c r="R42" i="6"/>
  <c r="P42" i="6"/>
  <c r="O42" i="6"/>
  <c r="N42" i="6"/>
  <c r="M42" i="6"/>
  <c r="L42" i="6"/>
  <c r="K42" i="6"/>
  <c r="J42" i="6"/>
  <c r="I42" i="6"/>
  <c r="H42" i="6"/>
  <c r="D40" i="6"/>
  <c r="T29" i="6"/>
  <c r="H27" i="6"/>
  <c r="P22" i="6"/>
  <c r="O22" i="6"/>
  <c r="C22" i="6"/>
  <c r="B22" i="6"/>
  <c r="T16" i="6"/>
  <c r="S9" i="6"/>
  <c r="P9" i="6"/>
  <c r="O9" i="6"/>
  <c r="N9" i="6"/>
  <c r="N68" i="6" s="1"/>
  <c r="M9" i="6"/>
  <c r="M68" i="6" s="1"/>
  <c r="L9" i="6"/>
  <c r="K9" i="6"/>
  <c r="K68" i="6" s="1"/>
  <c r="J9" i="6"/>
  <c r="I9" i="6"/>
  <c r="I68" i="6" s="1"/>
  <c r="H9" i="6"/>
  <c r="G9" i="6"/>
  <c r="F9" i="6"/>
  <c r="E9" i="6"/>
  <c r="E68" i="6" s="1"/>
  <c r="D9" i="6"/>
  <c r="C9" i="6"/>
  <c r="B9" i="6"/>
  <c r="S8" i="6"/>
  <c r="S67" i="6" s="1"/>
  <c r="T7" i="6"/>
  <c r="T67" i="6" s="1"/>
  <c r="A6" i="6"/>
  <c r="A66" i="6" s="1"/>
  <c r="A5" i="6"/>
  <c r="A65" i="6" s="1"/>
  <c r="A3" i="6"/>
  <c r="A63" i="6" s="1"/>
  <c r="S144" i="5"/>
  <c r="S139" i="5" s="1"/>
  <c r="M144" i="5"/>
  <c r="K144" i="5"/>
  <c r="J144" i="5"/>
  <c r="H144" i="5"/>
  <c r="H141" i="5" s="1"/>
  <c r="D144" i="5"/>
  <c r="B144" i="5"/>
  <c r="B141" i="5" s="1"/>
  <c r="K142" i="5"/>
  <c r="J142" i="5"/>
  <c r="K141" i="5"/>
  <c r="J141" i="5"/>
  <c r="S140" i="5"/>
  <c r="K140" i="5"/>
  <c r="J140" i="5"/>
  <c r="H140" i="5"/>
  <c r="K139" i="5"/>
  <c r="J139" i="5"/>
  <c r="B139" i="5"/>
  <c r="S127" i="5"/>
  <c r="P127" i="5"/>
  <c r="S126" i="5"/>
  <c r="P126" i="5"/>
  <c r="S125" i="5"/>
  <c r="S124" i="5"/>
  <c r="P124" i="5"/>
  <c r="M124" i="5"/>
  <c r="E124" i="5"/>
  <c r="D124" i="5"/>
  <c r="L120" i="5"/>
  <c r="H120" i="5"/>
  <c r="C120" i="5"/>
  <c r="B120" i="5"/>
  <c r="P119" i="5"/>
  <c r="M119" i="5"/>
  <c r="L119" i="5"/>
  <c r="K119" i="5"/>
  <c r="J119" i="5"/>
  <c r="H119" i="5"/>
  <c r="S118" i="5"/>
  <c r="N118" i="5"/>
  <c r="K118" i="5"/>
  <c r="I118" i="5"/>
  <c r="F118" i="5"/>
  <c r="C118" i="5"/>
  <c r="S117" i="5"/>
  <c r="P117" i="5"/>
  <c r="K117" i="5"/>
  <c r="E117" i="5"/>
  <c r="S114" i="5"/>
  <c r="R114" i="5"/>
  <c r="O114" i="5"/>
  <c r="N114" i="5"/>
  <c r="M114" i="5"/>
  <c r="L114" i="5"/>
  <c r="K114" i="5"/>
  <c r="J114" i="5"/>
  <c r="H114" i="5"/>
  <c r="G114" i="5"/>
  <c r="F114" i="5"/>
  <c r="E114" i="5"/>
  <c r="D114" i="5"/>
  <c r="C114" i="5"/>
  <c r="B114" i="5"/>
  <c r="T113" i="5"/>
  <c r="S113" i="5"/>
  <c r="A111" i="5"/>
  <c r="A110" i="5"/>
  <c r="A108" i="5"/>
  <c r="AN102" i="5"/>
  <c r="AK102" i="5"/>
  <c r="AH102" i="5"/>
  <c r="AF102" i="5"/>
  <c r="AE102" i="5"/>
  <c r="AC102" i="5"/>
  <c r="V102" i="5"/>
  <c r="G102" i="5"/>
  <c r="E102" i="5"/>
  <c r="D102" i="5"/>
  <c r="C102" i="5"/>
  <c r="B102" i="5"/>
  <c r="AN101" i="5"/>
  <c r="AK101" i="5"/>
  <c r="AI101" i="5"/>
  <c r="AH101" i="5"/>
  <c r="AE101" i="5"/>
  <c r="AA101" i="5"/>
  <c r="V101" i="5"/>
  <c r="AN99" i="5"/>
  <c r="V99" i="5"/>
  <c r="P99" i="5"/>
  <c r="AN98" i="5"/>
  <c r="AI98" i="5"/>
  <c r="AG98" i="5"/>
  <c r="AE98" i="5"/>
  <c r="AD98" i="5"/>
  <c r="AB98" i="5"/>
  <c r="X98" i="5"/>
  <c r="W98" i="5"/>
  <c r="V98" i="5"/>
  <c r="AN97" i="5"/>
  <c r="AK97" i="5"/>
  <c r="AI97" i="5"/>
  <c r="AH97" i="5"/>
  <c r="AE97" i="5"/>
  <c r="AC97" i="5"/>
  <c r="AB97" i="5"/>
  <c r="Z97" i="5"/>
  <c r="X97" i="5"/>
  <c r="W97" i="5"/>
  <c r="V97" i="5"/>
  <c r="D97" i="5"/>
  <c r="B97" i="5"/>
  <c r="AN95" i="5"/>
  <c r="AF95" i="5"/>
  <c r="V95" i="5"/>
  <c r="AN93" i="5"/>
  <c r="AK93" i="5"/>
  <c r="AF93" i="5"/>
  <c r="AD93" i="5"/>
  <c r="AB93" i="5"/>
  <c r="Y93" i="5"/>
  <c r="V93" i="5"/>
  <c r="R93" i="5"/>
  <c r="P93" i="5"/>
  <c r="O93" i="5"/>
  <c r="N93" i="5"/>
  <c r="AI93" i="5" s="1"/>
  <c r="M93" i="5"/>
  <c r="AH93" i="5" s="1"/>
  <c r="L93" i="5"/>
  <c r="K93" i="5"/>
  <c r="J93" i="5"/>
  <c r="I93" i="5"/>
  <c r="H93" i="5"/>
  <c r="AC93" i="5" s="1"/>
  <c r="G93" i="5"/>
  <c r="F93" i="5"/>
  <c r="AA93" i="5" s="1"/>
  <c r="E93" i="5"/>
  <c r="Z93" i="5" s="1"/>
  <c r="D93" i="5"/>
  <c r="C93" i="5"/>
  <c r="X93" i="5" s="1"/>
  <c r="B93" i="5"/>
  <c r="W93" i="5" s="1"/>
  <c r="AN92" i="5"/>
  <c r="AK92" i="5"/>
  <c r="K77" i="8" s="1"/>
  <c r="AJ92" i="5"/>
  <c r="J77" i="8" s="1"/>
  <c r="AH92" i="5"/>
  <c r="H77" i="8" s="1"/>
  <c r="AE92" i="5"/>
  <c r="AC92" i="5"/>
  <c r="Z92" i="5"/>
  <c r="Y92" i="5"/>
  <c r="X92" i="5"/>
  <c r="W92" i="5"/>
  <c r="V92" i="5"/>
  <c r="P92" i="5"/>
  <c r="L92" i="5"/>
  <c r="D92" i="5"/>
  <c r="B92" i="5"/>
  <c r="AN91" i="5"/>
  <c r="AK91" i="5"/>
  <c r="AH91" i="5"/>
  <c r="AF91" i="5"/>
  <c r="AE91" i="5"/>
  <c r="AC91" i="5"/>
  <c r="Z91" i="5"/>
  <c r="Y91" i="5"/>
  <c r="X91" i="5"/>
  <c r="W91" i="5"/>
  <c r="V91" i="5"/>
  <c r="AN90" i="5"/>
  <c r="AK90" i="5"/>
  <c r="AJ90" i="5"/>
  <c r="AG90" i="5"/>
  <c r="AF90" i="5"/>
  <c r="AC90" i="5"/>
  <c r="AA90" i="5"/>
  <c r="Y90" i="5"/>
  <c r="V90" i="5"/>
  <c r="AN89" i="5"/>
  <c r="AK89" i="5"/>
  <c r="AJ89" i="5"/>
  <c r="AH89" i="5"/>
  <c r="AF89" i="5"/>
  <c r="AE89" i="5"/>
  <c r="AC89" i="5"/>
  <c r="Z89" i="5"/>
  <c r="Y89" i="5"/>
  <c r="X89" i="5"/>
  <c r="W89" i="5"/>
  <c r="V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AN87" i="5"/>
  <c r="AK87" i="5"/>
  <c r="AF87" i="5"/>
  <c r="V87" i="5"/>
  <c r="P87" i="5"/>
  <c r="P95" i="5" s="1"/>
  <c r="K83" i="8" s="1"/>
  <c r="M87" i="5"/>
  <c r="AH87" i="5" s="1"/>
  <c r="K87" i="5"/>
  <c r="K95" i="5" s="1"/>
  <c r="J87" i="5"/>
  <c r="AE87" i="5" s="1"/>
  <c r="H87" i="5"/>
  <c r="AN86" i="5"/>
  <c r="AK86" i="5"/>
  <c r="AE86" i="5"/>
  <c r="AC86" i="5"/>
  <c r="Y86" i="5"/>
  <c r="X86" i="5"/>
  <c r="V86" i="5"/>
  <c r="R86" i="5"/>
  <c r="P86" i="5"/>
  <c r="O86" i="5"/>
  <c r="AJ86" i="5" s="1"/>
  <c r="N86" i="5"/>
  <c r="M86" i="5"/>
  <c r="AH86" i="5" s="1"/>
  <c r="L86" i="5"/>
  <c r="AG86" i="5" s="1"/>
  <c r="K86" i="5"/>
  <c r="J86" i="5"/>
  <c r="I86" i="5"/>
  <c r="H86" i="5"/>
  <c r="G86" i="5"/>
  <c r="AB86" i="5" s="1"/>
  <c r="F86" i="5"/>
  <c r="E86" i="5"/>
  <c r="E87" i="5" s="1"/>
  <c r="D86" i="5"/>
  <c r="C86" i="5"/>
  <c r="B86" i="5"/>
  <c r="W86" i="5" s="1"/>
  <c r="AN85" i="5"/>
  <c r="AK85" i="5"/>
  <c r="AJ85" i="5"/>
  <c r="AF85" i="5"/>
  <c r="AB85" i="5"/>
  <c r="Y85" i="5"/>
  <c r="V85" i="5"/>
  <c r="T85" i="5"/>
  <c r="AN84" i="5"/>
  <c r="AK84" i="5"/>
  <c r="AJ84" i="5"/>
  <c r="AH84" i="5"/>
  <c r="AE84" i="5"/>
  <c r="AC84" i="5"/>
  <c r="Z84" i="5"/>
  <c r="Y84" i="5"/>
  <c r="X84" i="5"/>
  <c r="W84" i="5"/>
  <c r="V84" i="5"/>
  <c r="AN83" i="5"/>
  <c r="AK83" i="5"/>
  <c r="AJ83" i="5"/>
  <c r="AF83" i="5"/>
  <c r="AA83" i="5"/>
  <c r="Y83" i="5"/>
  <c r="X83" i="5"/>
  <c r="V83" i="5"/>
  <c r="AN82" i="5"/>
  <c r="AK82" i="5"/>
  <c r="AJ82" i="5"/>
  <c r="AH82" i="5"/>
  <c r="AE82" i="5"/>
  <c r="AC82" i="5"/>
  <c r="Z82" i="5"/>
  <c r="Y82" i="5"/>
  <c r="X82" i="5"/>
  <c r="W82" i="5"/>
  <c r="V82" i="5"/>
  <c r="C82" i="5"/>
  <c r="B82" i="5"/>
  <c r="AN81" i="5"/>
  <c r="AK81" i="5"/>
  <c r="AH81" i="5"/>
  <c r="AF81" i="5"/>
  <c r="AE81" i="5"/>
  <c r="AC81" i="5"/>
  <c r="AA81" i="5"/>
  <c r="Z81" i="5"/>
  <c r="W81" i="5"/>
  <c r="V81" i="5"/>
  <c r="H81" i="5"/>
  <c r="G81" i="5"/>
  <c r="F81" i="5"/>
  <c r="E81" i="5"/>
  <c r="D81" i="5"/>
  <c r="C81" i="5"/>
  <c r="B81" i="5"/>
  <c r="V80" i="5"/>
  <c r="AN78" i="5"/>
  <c r="AJ78" i="5"/>
  <c r="AH78" i="5"/>
  <c r="AG78" i="5"/>
  <c r="AE78" i="5"/>
  <c r="AB78" i="5"/>
  <c r="AA78" i="5"/>
  <c r="Z78" i="5"/>
  <c r="W78" i="5"/>
  <c r="V78" i="5"/>
  <c r="R78" i="5"/>
  <c r="T119" i="5" s="1"/>
  <c r="P78" i="5"/>
  <c r="O78" i="5"/>
  <c r="AJ91" i="5" s="1"/>
  <c r="N78" i="5"/>
  <c r="M78" i="5"/>
  <c r="L78" i="5"/>
  <c r="K78" i="5"/>
  <c r="AF98" i="5" s="1"/>
  <c r="J78" i="5"/>
  <c r="I78" i="5"/>
  <c r="H78" i="5"/>
  <c r="G78" i="5"/>
  <c r="F78" i="5"/>
  <c r="E78" i="5"/>
  <c r="D78" i="5"/>
  <c r="Y98" i="5" s="1"/>
  <c r="C78" i="5"/>
  <c r="D120" i="5" s="1"/>
  <c r="B78" i="5"/>
  <c r="AN77" i="5"/>
  <c r="AK77" i="5"/>
  <c r="AI77" i="5"/>
  <c r="AH77" i="5"/>
  <c r="AF77" i="5"/>
  <c r="AE77" i="5"/>
  <c r="AC77" i="5"/>
  <c r="Z77" i="5"/>
  <c r="X77" i="5"/>
  <c r="W77" i="5"/>
  <c r="V77" i="5"/>
  <c r="V76" i="5"/>
  <c r="AK75" i="5"/>
  <c r="AG75" i="5"/>
  <c r="AD75" i="5"/>
  <c r="I114" i="5" s="1"/>
  <c r="Y75" i="5"/>
  <c r="X75" i="5"/>
  <c r="W75" i="5"/>
  <c r="V75" i="5"/>
  <c r="S75" i="5"/>
  <c r="AN75" i="5" s="1"/>
  <c r="R75" i="5"/>
  <c r="O75" i="5"/>
  <c r="AJ75" i="5" s="1"/>
  <c r="N75" i="5"/>
  <c r="AI75" i="5" s="1"/>
  <c r="M75" i="5"/>
  <c r="AH75" i="5" s="1"/>
  <c r="L75" i="5"/>
  <c r="K75" i="5"/>
  <c r="AF75" i="5" s="1"/>
  <c r="J75" i="5"/>
  <c r="AE75" i="5" s="1"/>
  <c r="I75" i="5"/>
  <c r="E75" i="5"/>
  <c r="F75" i="5" s="1"/>
  <c r="C75" i="5"/>
  <c r="D75" i="5" s="1"/>
  <c r="B75" i="5"/>
  <c r="AO74" i="5"/>
  <c r="S74" i="5"/>
  <c r="AN74" i="5" s="1"/>
  <c r="T73" i="5"/>
  <c r="A72" i="5"/>
  <c r="V72" i="5" s="1"/>
  <c r="A71" i="5"/>
  <c r="V71" i="5" s="1"/>
  <c r="V70" i="5"/>
  <c r="V69" i="5"/>
  <c r="A69" i="5"/>
  <c r="V64" i="5"/>
  <c r="K64" i="5"/>
  <c r="AN63" i="5"/>
  <c r="V63" i="5"/>
  <c r="R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AN62" i="5"/>
  <c r="V62" i="5"/>
  <c r="P62" i="5"/>
  <c r="O62" i="5"/>
  <c r="N62" i="5"/>
  <c r="B62" i="5"/>
  <c r="AN61" i="5"/>
  <c r="V61" i="5"/>
  <c r="L61" i="5"/>
  <c r="K61" i="5"/>
  <c r="J61" i="5"/>
  <c r="I61" i="5"/>
  <c r="H61" i="5"/>
  <c r="G61" i="5"/>
  <c r="F61" i="5"/>
  <c r="E61" i="5"/>
  <c r="D61" i="5"/>
  <c r="C61" i="5"/>
  <c r="V60" i="5"/>
  <c r="AN58" i="5"/>
  <c r="V58" i="5"/>
  <c r="H58" i="5"/>
  <c r="G58" i="5"/>
  <c r="F58" i="5"/>
  <c r="E58" i="5"/>
  <c r="D58" i="5"/>
  <c r="C58" i="5"/>
  <c r="B58" i="5"/>
  <c r="V56" i="5"/>
  <c r="M56" i="5"/>
  <c r="K56" i="5"/>
  <c r="H56" i="5"/>
  <c r="E56" i="5"/>
  <c r="E123" i="5" s="1"/>
  <c r="AN54" i="5"/>
  <c r="Z54" i="5"/>
  <c r="V54" i="5"/>
  <c r="R54" i="5"/>
  <c r="P54" i="5"/>
  <c r="O54" i="5"/>
  <c r="N54" i="5"/>
  <c r="M54" i="5"/>
  <c r="L54" i="5"/>
  <c r="K54" i="5"/>
  <c r="J54" i="5"/>
  <c r="I54" i="5"/>
  <c r="I124" i="5" s="1"/>
  <c r="H54" i="5"/>
  <c r="G54" i="5"/>
  <c r="F54" i="5"/>
  <c r="E54" i="5"/>
  <c r="D54" i="5"/>
  <c r="C54" i="5"/>
  <c r="B54" i="5"/>
  <c r="AN53" i="5"/>
  <c r="V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V52" i="5"/>
  <c r="AN51" i="5"/>
  <c r="V51" i="5"/>
  <c r="AN50" i="5"/>
  <c r="V50" i="5"/>
  <c r="B50" i="5"/>
  <c r="AN48" i="5"/>
  <c r="V48" i="5"/>
  <c r="R48" i="5"/>
  <c r="P48" i="5"/>
  <c r="O48" i="5"/>
  <c r="N48" i="5"/>
  <c r="M48" i="5"/>
  <c r="M118" i="5" s="1"/>
  <c r="L48" i="5"/>
  <c r="K48" i="5"/>
  <c r="J48" i="5"/>
  <c r="I48" i="5"/>
  <c r="H48" i="5"/>
  <c r="H118" i="5" s="1"/>
  <c r="G48" i="5"/>
  <c r="G118" i="5" s="1"/>
  <c r="F48" i="5"/>
  <c r="E48" i="5"/>
  <c r="D48" i="5"/>
  <c r="D118" i="5" s="1"/>
  <c r="C48" i="5"/>
  <c r="B48" i="5"/>
  <c r="B118" i="5" s="1"/>
  <c r="AN47" i="5"/>
  <c r="V47" i="5"/>
  <c r="P47" i="5"/>
  <c r="O47" i="5"/>
  <c r="N47" i="5"/>
  <c r="V46" i="5"/>
  <c r="AN45" i="5"/>
  <c r="V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N44" i="5"/>
  <c r="V44" i="5"/>
  <c r="AN43" i="5"/>
  <c r="V43" i="5"/>
  <c r="AN42" i="5"/>
  <c r="V42" i="5"/>
  <c r="V41" i="5"/>
  <c r="AN38" i="5"/>
  <c r="V38" i="5"/>
  <c r="B38" i="5"/>
  <c r="W62" i="5" s="1"/>
  <c r="AN37" i="5"/>
  <c r="V37" i="5"/>
  <c r="B37" i="5"/>
  <c r="AN36" i="5"/>
  <c r="V36" i="5"/>
  <c r="R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N35" i="5"/>
  <c r="V35" i="5"/>
  <c r="AN34" i="5"/>
  <c r="W34" i="5"/>
  <c r="V34" i="5"/>
  <c r="AN33" i="5"/>
  <c r="Z33" i="5"/>
  <c r="V33" i="5"/>
  <c r="H33" i="5"/>
  <c r="G33" i="5"/>
  <c r="F33" i="5"/>
  <c r="E33" i="5"/>
  <c r="D33" i="5"/>
  <c r="C33" i="5"/>
  <c r="B33" i="5"/>
  <c r="AN32" i="5"/>
  <c r="W32" i="5"/>
  <c r="V32" i="5"/>
  <c r="AN31" i="5"/>
  <c r="V31" i="5"/>
  <c r="G31" i="5"/>
  <c r="F31" i="5"/>
  <c r="V30" i="5"/>
  <c r="AN28" i="5"/>
  <c r="V28" i="5"/>
  <c r="O28" i="5"/>
  <c r="N28" i="5"/>
  <c r="N125" i="5" s="1"/>
  <c r="M28" i="5"/>
  <c r="J28" i="5"/>
  <c r="F28" i="5"/>
  <c r="F37" i="5" s="1"/>
  <c r="E28" i="5"/>
  <c r="D28" i="5"/>
  <c r="B28" i="5"/>
  <c r="AN26" i="5"/>
  <c r="V26" i="5"/>
  <c r="AN24" i="5"/>
  <c r="V24" i="5"/>
  <c r="R24" i="5"/>
  <c r="P24" i="5"/>
  <c r="O24" i="5"/>
  <c r="N24" i="5"/>
  <c r="M24" i="5"/>
  <c r="L24" i="5"/>
  <c r="K24" i="5"/>
  <c r="K28" i="5" s="1"/>
  <c r="J24" i="5"/>
  <c r="I24" i="5"/>
  <c r="I28" i="5" s="1"/>
  <c r="I125" i="5" s="1"/>
  <c r="H24" i="5"/>
  <c r="G24" i="5"/>
  <c r="F24" i="5"/>
  <c r="E24" i="5"/>
  <c r="D24" i="5"/>
  <c r="C24" i="5"/>
  <c r="B24" i="5"/>
  <c r="AN23" i="5"/>
  <c r="W23" i="5"/>
  <c r="V23" i="5"/>
  <c r="T23" i="5"/>
  <c r="AN22" i="5"/>
  <c r="V22" i="5"/>
  <c r="T22" i="5"/>
  <c r="AN21" i="5"/>
  <c r="V21" i="5"/>
  <c r="AN20" i="5"/>
  <c r="V20" i="5"/>
  <c r="I20" i="5"/>
  <c r="G20" i="5"/>
  <c r="F20" i="5"/>
  <c r="E20" i="5"/>
  <c r="D20" i="5"/>
  <c r="C20" i="5"/>
  <c r="B20" i="5"/>
  <c r="V19" i="5"/>
  <c r="AN17" i="5"/>
  <c r="Z17" i="5"/>
  <c r="V17" i="5"/>
  <c r="R17" i="5"/>
  <c r="P17" i="5"/>
  <c r="O17" i="5"/>
  <c r="N17" i="5"/>
  <c r="M17" i="5"/>
  <c r="M117" i="5" s="1"/>
  <c r="L17" i="5"/>
  <c r="K17" i="5"/>
  <c r="J17" i="5"/>
  <c r="I17" i="5"/>
  <c r="H17" i="5"/>
  <c r="G17" i="5"/>
  <c r="G117" i="5" s="1"/>
  <c r="F17" i="5"/>
  <c r="F117" i="5" s="1"/>
  <c r="E17" i="5"/>
  <c r="E38" i="5" s="1"/>
  <c r="Z56" i="5" s="1"/>
  <c r="D17" i="5"/>
  <c r="C17" i="5"/>
  <c r="B17" i="5"/>
  <c r="AN16" i="5"/>
  <c r="V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AN15" i="5"/>
  <c r="V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AN14" i="5"/>
  <c r="V14" i="5"/>
  <c r="I14" i="5"/>
  <c r="AN13" i="5"/>
  <c r="V13" i="5"/>
  <c r="V12" i="5"/>
  <c r="AN10" i="5"/>
  <c r="AM10" i="5"/>
  <c r="AM75" i="5" s="1"/>
  <c r="AK10" i="5"/>
  <c r="P75" i="5" s="1"/>
  <c r="P114" i="5" s="1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M10" i="5"/>
  <c r="L10" i="5"/>
  <c r="K10" i="5"/>
  <c r="J10" i="5"/>
  <c r="G10" i="5"/>
  <c r="F10" i="5"/>
  <c r="E10" i="5"/>
  <c r="D10" i="5"/>
  <c r="C10" i="5"/>
  <c r="AO9" i="5"/>
  <c r="AN9" i="5"/>
  <c r="V3" i="5"/>
  <c r="S64" i="5" l="1"/>
  <c r="AN64" i="5" s="1"/>
  <c r="AN56" i="5"/>
  <c r="O93" i="7"/>
  <c r="O80" i="7"/>
  <c r="D84" i="7"/>
  <c r="I37" i="8"/>
  <c r="I45" i="8" s="1"/>
  <c r="I64" i="8" s="1"/>
  <c r="I82" i="8" s="1"/>
  <c r="N48" i="8"/>
  <c r="D83" i="7"/>
  <c r="E83" i="7" s="1"/>
  <c r="F83" i="7" s="1"/>
  <c r="J37" i="8"/>
  <c r="J45" i="8" s="1"/>
  <c r="J64" i="8" s="1"/>
  <c r="J82" i="8" s="1"/>
  <c r="N24" i="8"/>
  <c r="C24" i="8" s="1"/>
  <c r="D26" i="7" s="1"/>
  <c r="G37" i="8"/>
  <c r="G45" i="8" s="1"/>
  <c r="G26" i="8"/>
  <c r="H37" i="8"/>
  <c r="H45" i="8" s="1"/>
  <c r="H64" i="8" s="1"/>
  <c r="H82" i="8" s="1"/>
  <c r="H26" i="8"/>
  <c r="C67" i="8"/>
  <c r="K37" i="8"/>
  <c r="K45" i="8" s="1"/>
  <c r="K64" i="8" s="1"/>
  <c r="K82" i="8" s="1"/>
  <c r="K26" i="8"/>
  <c r="T86" i="5"/>
  <c r="AO86" i="5"/>
  <c r="AO92" i="5"/>
  <c r="AO82" i="5"/>
  <c r="AO102" i="5"/>
  <c r="AO91" i="5"/>
  <c r="AO81" i="5"/>
  <c r="AO101" i="5"/>
  <c r="AO90" i="5"/>
  <c r="AO78" i="5"/>
  <c r="T78" i="5"/>
  <c r="AO89" i="5"/>
  <c r="AO77" i="5"/>
  <c r="AO97" i="5"/>
  <c r="AO98" i="5"/>
  <c r="AO84" i="5"/>
  <c r="AO83" i="5"/>
  <c r="T42" i="6"/>
  <c r="R70" i="6"/>
  <c r="R111" i="6" s="1"/>
  <c r="T48" i="5"/>
  <c r="T17" i="5"/>
  <c r="T58" i="6"/>
  <c r="T55" i="6"/>
  <c r="R56" i="5"/>
  <c r="T54" i="5"/>
  <c r="T36" i="5"/>
  <c r="R28" i="5"/>
  <c r="T24" i="5"/>
  <c r="T63" i="5"/>
  <c r="T93" i="5"/>
  <c r="AO93" i="5"/>
  <c r="R117" i="5"/>
  <c r="T117" i="5" s="1"/>
  <c r="AM85" i="5"/>
  <c r="H28" i="5"/>
  <c r="I135" i="5" s="1"/>
  <c r="P28" i="5"/>
  <c r="P135" i="5" s="1"/>
  <c r="AI63" i="5"/>
  <c r="H68" i="8"/>
  <c r="H47" i="8"/>
  <c r="M125" i="5"/>
  <c r="H46" i="8"/>
  <c r="M37" i="5"/>
  <c r="AH37" i="5" s="1"/>
  <c r="M38" i="5"/>
  <c r="W35" i="5"/>
  <c r="AA75" i="5"/>
  <c r="G75" i="5"/>
  <c r="H95" i="5"/>
  <c r="AC87" i="5"/>
  <c r="B117" i="5"/>
  <c r="W17" i="5"/>
  <c r="AE17" i="5"/>
  <c r="J117" i="5"/>
  <c r="Z22" i="5"/>
  <c r="Z28" i="5"/>
  <c r="W37" i="5"/>
  <c r="W42" i="5"/>
  <c r="J118" i="5"/>
  <c r="AE48" i="5"/>
  <c r="Z51" i="5"/>
  <c r="K123" i="5"/>
  <c r="C64" i="5"/>
  <c r="AD97" i="5"/>
  <c r="J120" i="5"/>
  <c r="I119" i="5"/>
  <c r="AD92" i="5"/>
  <c r="AD91" i="5"/>
  <c r="AD89" i="5"/>
  <c r="AD84" i="5"/>
  <c r="AD82" i="5"/>
  <c r="I70" i="6"/>
  <c r="I120" i="5"/>
  <c r="AD78" i="5"/>
  <c r="AD102" i="5"/>
  <c r="AD83" i="5"/>
  <c r="AD101" i="5"/>
  <c r="I87" i="5"/>
  <c r="AD90" i="5"/>
  <c r="AD81" i="5"/>
  <c r="AM97" i="5"/>
  <c r="AM92" i="5"/>
  <c r="AM91" i="5"/>
  <c r="AM89" i="5"/>
  <c r="AM84" i="5"/>
  <c r="AM82" i="5"/>
  <c r="AM98" i="5"/>
  <c r="AM102" i="5"/>
  <c r="AM90" i="5"/>
  <c r="AM81" i="5"/>
  <c r="AM77" i="5"/>
  <c r="AM101" i="5"/>
  <c r="R87" i="5"/>
  <c r="AM83" i="5"/>
  <c r="AM78" i="5"/>
  <c r="AD85" i="5"/>
  <c r="D140" i="5"/>
  <c r="D141" i="5"/>
  <c r="W14" i="5"/>
  <c r="C117" i="5"/>
  <c r="K38" i="5"/>
  <c r="AF64" i="5" s="1"/>
  <c r="G28" i="5"/>
  <c r="AJ24" i="5"/>
  <c r="J37" i="5"/>
  <c r="AE37" i="5" s="1"/>
  <c r="J125" i="5"/>
  <c r="Z35" i="5"/>
  <c r="I37" i="5"/>
  <c r="AD37" i="5" s="1"/>
  <c r="F56" i="5"/>
  <c r="AI54" i="5"/>
  <c r="N56" i="5"/>
  <c r="M123" i="5"/>
  <c r="M64" i="5"/>
  <c r="AH64" i="5" s="1"/>
  <c r="E64" i="5"/>
  <c r="Z64" i="5" s="1"/>
  <c r="AD77" i="5"/>
  <c r="K127" i="5"/>
  <c r="K126" i="5"/>
  <c r="K99" i="5"/>
  <c r="L118" i="5"/>
  <c r="M103" i="6"/>
  <c r="M88" i="6"/>
  <c r="M101" i="6"/>
  <c r="M116" i="6"/>
  <c r="M119" i="6"/>
  <c r="M113" i="6"/>
  <c r="M112" i="6"/>
  <c r="M109" i="6"/>
  <c r="M107" i="6"/>
  <c r="M114" i="6"/>
  <c r="M111" i="6"/>
  <c r="M97" i="6"/>
  <c r="M89" i="6"/>
  <c r="M83" i="6"/>
  <c r="M79" i="6"/>
  <c r="M80" i="6"/>
  <c r="M99" i="6"/>
  <c r="M86" i="6"/>
  <c r="M100" i="6"/>
  <c r="M87" i="6"/>
  <c r="M106" i="6"/>
  <c r="M82" i="6"/>
  <c r="M78" i="6"/>
  <c r="M90" i="6"/>
  <c r="M110" i="6"/>
  <c r="M96" i="6"/>
  <c r="M85" i="6"/>
  <c r="W13" i="5"/>
  <c r="C68" i="8"/>
  <c r="Z26" i="5"/>
  <c r="I68" i="8"/>
  <c r="I47" i="8"/>
  <c r="I46" i="8"/>
  <c r="N37" i="5"/>
  <c r="W43" i="5"/>
  <c r="Z58" i="5"/>
  <c r="R106" i="6"/>
  <c r="R100" i="6"/>
  <c r="R78" i="6"/>
  <c r="R80" i="6"/>
  <c r="R119" i="6"/>
  <c r="N38" i="5"/>
  <c r="N117" i="5"/>
  <c r="W28" i="5"/>
  <c r="AH36" i="5"/>
  <c r="Z38" i="5"/>
  <c r="K125" i="5"/>
  <c r="K37" i="5"/>
  <c r="AF28" i="5"/>
  <c r="W54" i="5"/>
  <c r="B56" i="5"/>
  <c r="F144" i="5"/>
  <c r="F64" i="5"/>
  <c r="F124" i="5"/>
  <c r="F70" i="6"/>
  <c r="G120" i="5"/>
  <c r="AA92" i="5"/>
  <c r="AA91" i="5"/>
  <c r="AA89" i="5"/>
  <c r="AA84" i="5"/>
  <c r="AA82" i="5"/>
  <c r="AA98" i="5"/>
  <c r="AA97" i="5"/>
  <c r="AA102" i="5"/>
  <c r="F135" i="5"/>
  <c r="F120" i="5"/>
  <c r="AA85" i="5"/>
  <c r="AA77" i="5"/>
  <c r="F125" i="5"/>
  <c r="K135" i="5"/>
  <c r="W45" i="5"/>
  <c r="W53" i="5"/>
  <c r="W21" i="5"/>
  <c r="W61" i="5"/>
  <c r="W58" i="5"/>
  <c r="W51" i="5"/>
  <c r="W26" i="5"/>
  <c r="W33" i="5"/>
  <c r="B136" i="5"/>
  <c r="W47" i="5"/>
  <c r="W31" i="5"/>
  <c r="W15" i="5"/>
  <c r="Y48" i="5"/>
  <c r="W48" i="5"/>
  <c r="C144" i="5"/>
  <c r="C124" i="5"/>
  <c r="W63" i="5"/>
  <c r="C123" i="5"/>
  <c r="Z61" i="5"/>
  <c r="Z47" i="5"/>
  <c r="Z63" i="5"/>
  <c r="Z42" i="5"/>
  <c r="Z34" i="5"/>
  <c r="Z44" i="5"/>
  <c r="Z32" i="5"/>
  <c r="Z16" i="5"/>
  <c r="Z53" i="5"/>
  <c r="Z45" i="5"/>
  <c r="Z31" i="5"/>
  <c r="Z23" i="5"/>
  <c r="Z15" i="5"/>
  <c r="Z14" i="5"/>
  <c r="Z20" i="5"/>
  <c r="Z62" i="5"/>
  <c r="Y36" i="5"/>
  <c r="W36" i="5"/>
  <c r="W38" i="5"/>
  <c r="M95" i="5"/>
  <c r="F38" i="5"/>
  <c r="Q135" i="5"/>
  <c r="J68" i="8"/>
  <c r="J47" i="8"/>
  <c r="J46" i="8"/>
  <c r="AJ28" i="5"/>
  <c r="O37" i="5"/>
  <c r="AJ37" i="5" s="1"/>
  <c r="Z36" i="5"/>
  <c r="Z43" i="5"/>
  <c r="I56" i="5"/>
  <c r="Z13" i="5"/>
  <c r="O117" i="5"/>
  <c r="O38" i="5"/>
  <c r="C28" i="5"/>
  <c r="W24" i="5"/>
  <c r="E135" i="5"/>
  <c r="D38" i="5"/>
  <c r="AI28" i="5"/>
  <c r="AI36" i="5"/>
  <c r="R37" i="5"/>
  <c r="AJ48" i="5"/>
  <c r="O56" i="5"/>
  <c r="AJ56" i="5" s="1"/>
  <c r="O118" i="5"/>
  <c r="W50" i="5"/>
  <c r="J124" i="5"/>
  <c r="J56" i="5"/>
  <c r="N144" i="5"/>
  <c r="N124" i="5"/>
  <c r="Z75" i="5"/>
  <c r="I10" i="8"/>
  <c r="I42" i="8"/>
  <c r="I40" i="8"/>
  <c r="N136" i="5"/>
  <c r="N119" i="5"/>
  <c r="B124" i="7" s="1"/>
  <c r="N70" i="6"/>
  <c r="N135" i="5"/>
  <c r="AI92" i="5"/>
  <c r="I77" i="8" s="1"/>
  <c r="AI91" i="5"/>
  <c r="AI89" i="5"/>
  <c r="AI84" i="5"/>
  <c r="AI82" i="5"/>
  <c r="I12" i="8"/>
  <c r="AI85" i="5"/>
  <c r="AI83" i="5"/>
  <c r="AI78" i="5"/>
  <c r="N87" i="5"/>
  <c r="AI81" i="5"/>
  <c r="AI90" i="5"/>
  <c r="AO85" i="5"/>
  <c r="O120" i="5"/>
  <c r="AI102" i="5"/>
  <c r="N120" i="5"/>
  <c r="W16" i="5"/>
  <c r="H117" i="5"/>
  <c r="AF17" i="5"/>
  <c r="W20" i="5"/>
  <c r="W22" i="5"/>
  <c r="L28" i="5"/>
  <c r="Z24" i="5"/>
  <c r="E125" i="5"/>
  <c r="E37" i="5"/>
  <c r="Z37" i="5" s="1"/>
  <c r="D37" i="5"/>
  <c r="Y37" i="5" s="1"/>
  <c r="J38" i="5"/>
  <c r="W44" i="5"/>
  <c r="Z50" i="5"/>
  <c r="G56" i="5"/>
  <c r="G144" i="5"/>
  <c r="G125" i="5"/>
  <c r="G139" i="5"/>
  <c r="G124" i="5"/>
  <c r="G123" i="5"/>
  <c r="G64" i="5"/>
  <c r="O144" i="5"/>
  <c r="O139" i="5"/>
  <c r="O125" i="5"/>
  <c r="AJ63" i="5"/>
  <c r="O124" i="5"/>
  <c r="F87" i="5"/>
  <c r="AM93" i="5"/>
  <c r="AF54" i="5"/>
  <c r="K124" i="5"/>
  <c r="H125" i="5"/>
  <c r="H139" i="5"/>
  <c r="H142" i="5" s="1"/>
  <c r="H124" i="5"/>
  <c r="H123" i="5"/>
  <c r="H64" i="5"/>
  <c r="P144" i="5"/>
  <c r="P139" i="5" s="1"/>
  <c r="P125" i="5"/>
  <c r="P123" i="5"/>
  <c r="Z87" i="5"/>
  <c r="E95" i="5"/>
  <c r="J103" i="6"/>
  <c r="I116" i="6"/>
  <c r="I117" i="5"/>
  <c r="I38" i="5"/>
  <c r="E118" i="5"/>
  <c r="Z48" i="5"/>
  <c r="I64" i="5"/>
  <c r="I144" i="5"/>
  <c r="R125" i="5"/>
  <c r="T125" i="5" s="1"/>
  <c r="R124" i="5"/>
  <c r="T124" i="5" s="1"/>
  <c r="R144" i="5"/>
  <c r="T144" i="5" s="1"/>
  <c r="AA86" i="5"/>
  <c r="AI86" i="5"/>
  <c r="Z86" i="5"/>
  <c r="B87" i="5"/>
  <c r="K103" i="6"/>
  <c r="B79" i="6"/>
  <c r="N9" i="7"/>
  <c r="B77" i="7"/>
  <c r="P118" i="5"/>
  <c r="P56" i="5"/>
  <c r="D139" i="5"/>
  <c r="D125" i="5"/>
  <c r="L123" i="5"/>
  <c r="L124" i="5"/>
  <c r="L144" i="5"/>
  <c r="L139" i="5" s="1"/>
  <c r="L125" i="5"/>
  <c r="Y63" i="5"/>
  <c r="G135" i="5"/>
  <c r="AB102" i="5"/>
  <c r="AB101" i="5"/>
  <c r="G87" i="5"/>
  <c r="AB81" i="5"/>
  <c r="AB77" i="5"/>
  <c r="AB91" i="5"/>
  <c r="AB89" i="5"/>
  <c r="G70" i="6"/>
  <c r="AB90" i="5"/>
  <c r="AB92" i="5"/>
  <c r="AB84" i="5"/>
  <c r="AB82" i="5"/>
  <c r="Q120" i="5"/>
  <c r="J42" i="8"/>
  <c r="J40" i="8"/>
  <c r="J10" i="8"/>
  <c r="O70" i="6"/>
  <c r="O135" i="5"/>
  <c r="P120" i="5"/>
  <c r="O119" i="5"/>
  <c r="AJ102" i="5"/>
  <c r="AJ101" i="5"/>
  <c r="O87" i="5"/>
  <c r="AJ81" i="5"/>
  <c r="AJ77" i="5"/>
  <c r="O136" i="5"/>
  <c r="J12" i="8"/>
  <c r="AJ98" i="5"/>
  <c r="AJ97" i="5"/>
  <c r="AB83" i="5"/>
  <c r="AD86" i="5"/>
  <c r="AM86" i="5"/>
  <c r="AK99" i="5"/>
  <c r="B140" i="5"/>
  <c r="P12" i="6"/>
  <c r="M118" i="6"/>
  <c r="M56" i="6"/>
  <c r="M117" i="6" s="1"/>
  <c r="B117" i="6"/>
  <c r="B113" i="6"/>
  <c r="B116" i="6"/>
  <c r="B114" i="6"/>
  <c r="B107" i="6"/>
  <c r="B103" i="6"/>
  <c r="B86" i="6"/>
  <c r="B97" i="6"/>
  <c r="B88" i="6"/>
  <c r="B119" i="6"/>
  <c r="B106" i="6"/>
  <c r="B95" i="6"/>
  <c r="B76" i="6"/>
  <c r="B96" i="6"/>
  <c r="B99" i="6"/>
  <c r="B80" i="6"/>
  <c r="B101" i="6"/>
  <c r="B85" i="6"/>
  <c r="B118" i="6"/>
  <c r="B111" i="6"/>
  <c r="B100" i="6"/>
  <c r="B98" i="6"/>
  <c r="B83" i="6"/>
  <c r="AH17" i="5"/>
  <c r="AD48" i="5"/>
  <c r="R118" i="5"/>
  <c r="T118" i="5" s="1"/>
  <c r="C56" i="5"/>
  <c r="AJ93" i="5"/>
  <c r="F68" i="6"/>
  <c r="T34" i="6"/>
  <c r="O119" i="6"/>
  <c r="P57" i="6"/>
  <c r="D109" i="6"/>
  <c r="D106" i="6"/>
  <c r="D103" i="6"/>
  <c r="D95" i="6"/>
  <c r="D88" i="6"/>
  <c r="D119" i="6"/>
  <c r="D111" i="6"/>
  <c r="D100" i="6"/>
  <c r="D98" i="6"/>
  <c r="D77" i="6"/>
  <c r="D82" i="6"/>
  <c r="D79" i="6"/>
  <c r="D99" i="6"/>
  <c r="D96" i="6"/>
  <c r="D85" i="6"/>
  <c r="D80" i="6"/>
  <c r="D116" i="6"/>
  <c r="D114" i="6"/>
  <c r="D86" i="6"/>
  <c r="D117" i="6"/>
  <c r="D107" i="6"/>
  <c r="D97" i="6"/>
  <c r="D101" i="6"/>
  <c r="D118" i="6"/>
  <c r="D81" i="6"/>
  <c r="D87" i="6"/>
  <c r="D78" i="6"/>
  <c r="D76" i="6"/>
  <c r="D117" i="5"/>
  <c r="L117" i="5"/>
  <c r="D56" i="5"/>
  <c r="Y56" i="5" s="1"/>
  <c r="L56" i="5"/>
  <c r="B125" i="5"/>
  <c r="H70" i="6"/>
  <c r="AC78" i="5"/>
  <c r="AC98" i="5"/>
  <c r="K42" i="8"/>
  <c r="P70" i="6"/>
  <c r="P103" i="6" s="1"/>
  <c r="K12" i="8"/>
  <c r="AK78" i="5"/>
  <c r="AK98" i="5"/>
  <c r="AC83" i="5"/>
  <c r="AC85" i="5"/>
  <c r="AG89" i="5"/>
  <c r="X90" i="5"/>
  <c r="AG91" i="5"/>
  <c r="J95" i="5"/>
  <c r="AF97" i="5"/>
  <c r="AC101" i="5"/>
  <c r="T120" i="5"/>
  <c r="P116" i="6"/>
  <c r="N118" i="6"/>
  <c r="C70" i="6"/>
  <c r="C135" i="5"/>
  <c r="X78" i="5"/>
  <c r="K70" i="6"/>
  <c r="AF78" i="5"/>
  <c r="X81" i="5"/>
  <c r="AF82" i="5"/>
  <c r="AG83" i="5"/>
  <c r="AF84" i="5"/>
  <c r="AG85" i="5"/>
  <c r="AF86" i="5"/>
  <c r="C87" i="5"/>
  <c r="AF92" i="5"/>
  <c r="AG93" i="5"/>
  <c r="AK95" i="5"/>
  <c r="AF101" i="5"/>
  <c r="L135" i="5"/>
  <c r="T15" i="6"/>
  <c r="J68" i="6"/>
  <c r="T17" i="6"/>
  <c r="E120" i="5"/>
  <c r="D87" i="5"/>
  <c r="Y81" i="5"/>
  <c r="Y77" i="5"/>
  <c r="Y97" i="5"/>
  <c r="G12" i="8"/>
  <c r="G10" i="8"/>
  <c r="M120" i="5"/>
  <c r="G42" i="8"/>
  <c r="G40" i="8"/>
  <c r="L70" i="6"/>
  <c r="L117" i="6" s="1"/>
  <c r="AG102" i="5"/>
  <c r="AG101" i="5"/>
  <c r="L87" i="5"/>
  <c r="AG81" i="5"/>
  <c r="AG77" i="5"/>
  <c r="AG97" i="5"/>
  <c r="Y78" i="5"/>
  <c r="AG82" i="5"/>
  <c r="AG84" i="5"/>
  <c r="X85" i="5"/>
  <c r="AG92" i="5"/>
  <c r="G77" i="8" s="1"/>
  <c r="K120" i="5"/>
  <c r="M141" i="5"/>
  <c r="M140" i="5"/>
  <c r="E144" i="5"/>
  <c r="M139" i="5"/>
  <c r="E70" i="6"/>
  <c r="E136" i="5"/>
  <c r="H12" i="8"/>
  <c r="H10" i="8"/>
  <c r="H42" i="8"/>
  <c r="H40" i="8"/>
  <c r="Z83" i="5"/>
  <c r="AH83" i="5"/>
  <c r="Z85" i="5"/>
  <c r="AH85" i="5"/>
  <c r="Z90" i="5"/>
  <c r="AH90" i="5"/>
  <c r="B123" i="5"/>
  <c r="M135" i="5"/>
  <c r="C38" i="8"/>
  <c r="N38" i="8"/>
  <c r="B124" i="5"/>
  <c r="B135" i="5"/>
  <c r="J70" i="6"/>
  <c r="J135" i="5"/>
  <c r="W83" i="5"/>
  <c r="AE83" i="5"/>
  <c r="W85" i="5"/>
  <c r="AE85" i="5"/>
  <c r="W90" i="5"/>
  <c r="AE90" i="5"/>
  <c r="AE93" i="5"/>
  <c r="Z98" i="5"/>
  <c r="AH98" i="5"/>
  <c r="N119" i="6"/>
  <c r="O57" i="6"/>
  <c r="N56" i="6"/>
  <c r="N117" i="6" s="1"/>
  <c r="N73" i="8"/>
  <c r="P119" i="6"/>
  <c r="K116" i="6"/>
  <c r="S57" i="6"/>
  <c r="S56" i="6" s="1"/>
  <c r="S117" i="6" s="1"/>
  <c r="R56" i="6"/>
  <c r="J116" i="6"/>
  <c r="N86" i="7"/>
  <c r="E84" i="7"/>
  <c r="F84" i="7" s="1"/>
  <c r="G84" i="7" s="1"/>
  <c r="H84" i="7" s="1"/>
  <c r="I84" i="7" s="1"/>
  <c r="J84" i="7" s="1"/>
  <c r="K84" i="7" s="1"/>
  <c r="A83" i="8"/>
  <c r="D87" i="7"/>
  <c r="E87" i="7" s="1"/>
  <c r="F87" i="7" s="1"/>
  <c r="G87" i="7" s="1"/>
  <c r="H87" i="7" s="1"/>
  <c r="I87" i="7" s="1"/>
  <c r="J87" i="7" s="1"/>
  <c r="C88" i="7"/>
  <c r="C89" i="7" s="1"/>
  <c r="M98" i="7"/>
  <c r="M92" i="7"/>
  <c r="M95" i="7"/>
  <c r="B48" i="7"/>
  <c r="A156" i="7"/>
  <c r="A168" i="7" s="1"/>
  <c r="B17" i="7"/>
  <c r="M105" i="7"/>
  <c r="M96" i="7"/>
  <c r="N77" i="7"/>
  <c r="C24" i="7"/>
  <c r="B36" i="7"/>
  <c r="N94" i="7"/>
  <c r="N87" i="7"/>
  <c r="N85" i="7"/>
  <c r="N80" i="7"/>
  <c r="N99" i="7"/>
  <c r="N105" i="7"/>
  <c r="N100" i="7"/>
  <c r="N104" i="7"/>
  <c r="A72" i="7"/>
  <c r="M72" i="7" s="1"/>
  <c r="N93" i="7"/>
  <c r="N79" i="7"/>
  <c r="N84" i="7"/>
  <c r="B88" i="7"/>
  <c r="N88" i="7" s="1"/>
  <c r="N95" i="7"/>
  <c r="C15" i="7"/>
  <c r="D15" i="7" s="1"/>
  <c r="E15" i="7" s="1"/>
  <c r="F15" i="7" s="1"/>
  <c r="G15" i="7" s="1"/>
  <c r="H15" i="7" s="1"/>
  <c r="I15" i="7" s="1"/>
  <c r="J15" i="7" s="1"/>
  <c r="K15" i="7" s="1"/>
  <c r="N92" i="7"/>
  <c r="M4" i="7"/>
  <c r="A86" i="8"/>
  <c r="M104" i="7"/>
  <c r="B55" i="7"/>
  <c r="M93" i="7"/>
  <c r="N83" i="7"/>
  <c r="B96" i="7"/>
  <c r="N96" i="7" s="1"/>
  <c r="N91" i="7"/>
  <c r="N101" i="7"/>
  <c r="B24" i="7"/>
  <c r="B64" i="7"/>
  <c r="C62" i="7"/>
  <c r="D62" i="7" s="1"/>
  <c r="E62" i="7" s="1"/>
  <c r="F62" i="7" s="1"/>
  <c r="G62" i="7" s="1"/>
  <c r="H62" i="7" s="1"/>
  <c r="I62" i="7" s="1"/>
  <c r="J62" i="7" s="1"/>
  <c r="K62" i="7" s="1"/>
  <c r="M91" i="7"/>
  <c r="A82" i="8"/>
  <c r="A84" i="8"/>
  <c r="C9" i="7"/>
  <c r="C50" i="7"/>
  <c r="O95" i="7"/>
  <c r="O84" i="7"/>
  <c r="O100" i="7"/>
  <c r="O87" i="7"/>
  <c r="C46" i="7"/>
  <c r="O79" i="7"/>
  <c r="O85" i="7"/>
  <c r="O104" i="7"/>
  <c r="O105" i="7"/>
  <c r="O86" i="7"/>
  <c r="O99" i="7"/>
  <c r="S86" i="6"/>
  <c r="S106" i="6"/>
  <c r="S111" i="6"/>
  <c r="S78" i="6"/>
  <c r="S107" i="6"/>
  <c r="S116" i="6"/>
  <c r="S141" i="5"/>
  <c r="S142" i="5" s="1"/>
  <c r="S73" i="6"/>
  <c r="S82" i="6"/>
  <c r="S83" i="6"/>
  <c r="S89" i="6"/>
  <c r="S100" i="6"/>
  <c r="S109" i="6"/>
  <c r="S99" i="6"/>
  <c r="S87" i="6"/>
  <c r="S79" i="6"/>
  <c r="S96" i="6"/>
  <c r="S80" i="6"/>
  <c r="S92" i="6"/>
  <c r="S97" i="6"/>
  <c r="S98" i="6"/>
  <c r="S103" i="6"/>
  <c r="S110" i="6"/>
  <c r="S112" i="6"/>
  <c r="S113" i="6"/>
  <c r="S88" i="6"/>
  <c r="S90" i="6"/>
  <c r="S101" i="6"/>
  <c r="S85" i="6"/>
  <c r="S114" i="6"/>
  <c r="A74" i="7"/>
  <c r="D52" i="7" l="1"/>
  <c r="N42" i="8"/>
  <c r="G64" i="8"/>
  <c r="G82" i="8" s="1"/>
  <c r="N40" i="8"/>
  <c r="E52" i="7"/>
  <c r="C28" i="7"/>
  <c r="T116" i="6"/>
  <c r="R88" i="6"/>
  <c r="R116" i="6"/>
  <c r="R90" i="6"/>
  <c r="B125" i="7"/>
  <c r="C40" i="8"/>
  <c r="C44" i="7" s="1"/>
  <c r="AM37" i="5"/>
  <c r="AO37" i="5"/>
  <c r="T37" i="5"/>
  <c r="R99" i="6"/>
  <c r="R96" i="6"/>
  <c r="B129" i="7"/>
  <c r="R123" i="5"/>
  <c r="T123" i="5" s="1"/>
  <c r="R97" i="6"/>
  <c r="R109" i="6"/>
  <c r="R107" i="6"/>
  <c r="R98" i="6"/>
  <c r="B57" i="7"/>
  <c r="B65" i="7" s="1"/>
  <c r="R113" i="6"/>
  <c r="R112" i="6"/>
  <c r="R83" i="6"/>
  <c r="R110" i="6"/>
  <c r="AO56" i="5"/>
  <c r="T56" i="5"/>
  <c r="AO87" i="5"/>
  <c r="T87" i="5"/>
  <c r="R87" i="6"/>
  <c r="R101" i="6"/>
  <c r="R114" i="6"/>
  <c r="R38" i="5"/>
  <c r="AO28" i="5"/>
  <c r="T28" i="5"/>
  <c r="T109" i="6"/>
  <c r="T97" i="6"/>
  <c r="T82" i="6"/>
  <c r="T108" i="6"/>
  <c r="T96" i="6"/>
  <c r="T81" i="6"/>
  <c r="T110" i="6"/>
  <c r="T98" i="6"/>
  <c r="T83" i="6"/>
  <c r="T107" i="6"/>
  <c r="T89" i="6"/>
  <c r="T80" i="6"/>
  <c r="T114" i="6"/>
  <c r="T106" i="6"/>
  <c r="T88" i="6"/>
  <c r="T79" i="6"/>
  <c r="T113" i="6"/>
  <c r="T101" i="6"/>
  <c r="T87" i="6"/>
  <c r="T112" i="6"/>
  <c r="T100" i="6"/>
  <c r="T86" i="6"/>
  <c r="T70" i="6"/>
  <c r="T118" i="6"/>
  <c r="T111" i="6"/>
  <c r="T99" i="6"/>
  <c r="T85" i="6"/>
  <c r="T103" i="6"/>
  <c r="R79" i="6"/>
  <c r="R82" i="6"/>
  <c r="C51" i="7"/>
  <c r="R117" i="6"/>
  <c r="R64" i="5"/>
  <c r="R103" i="6"/>
  <c r="R89" i="6"/>
  <c r="R86" i="6"/>
  <c r="R85" i="6"/>
  <c r="T119" i="6"/>
  <c r="L142" i="5"/>
  <c r="C116" i="6"/>
  <c r="C114" i="6"/>
  <c r="C107" i="6"/>
  <c r="C109" i="6"/>
  <c r="C106" i="6"/>
  <c r="C119" i="6"/>
  <c r="C103" i="6"/>
  <c r="C82" i="6"/>
  <c r="C79" i="6"/>
  <c r="C118" i="6"/>
  <c r="C117" i="6"/>
  <c r="C96" i="6"/>
  <c r="C90" i="6"/>
  <c r="C100" i="6"/>
  <c r="C88" i="6"/>
  <c r="C99" i="6"/>
  <c r="C97" i="6"/>
  <c r="C80" i="6"/>
  <c r="C98" i="6"/>
  <c r="C101" i="6"/>
  <c r="C86" i="6"/>
  <c r="C81" i="6"/>
  <c r="C85" i="6"/>
  <c r="C95" i="6"/>
  <c r="C111" i="6"/>
  <c r="R141" i="5"/>
  <c r="T141" i="5" s="1"/>
  <c r="R139" i="5"/>
  <c r="T139" i="5" s="1"/>
  <c r="R140" i="5"/>
  <c r="T140" i="5" s="1"/>
  <c r="AA44" i="5"/>
  <c r="AA61" i="5"/>
  <c r="AA47" i="5"/>
  <c r="AA20" i="5"/>
  <c r="AA16" i="5"/>
  <c r="AA53" i="5"/>
  <c r="AA45" i="5"/>
  <c r="AA42" i="5"/>
  <c r="AA36" i="5"/>
  <c r="AA31" i="5"/>
  <c r="AA23" i="5"/>
  <c r="AA15" i="5"/>
  <c r="AA14" i="5"/>
  <c r="AA43" i="5"/>
  <c r="AA35" i="5"/>
  <c r="AA22" i="5"/>
  <c r="AA62" i="5"/>
  <c r="AA50" i="5"/>
  <c r="AA34" i="5"/>
  <c r="AA13" i="5"/>
  <c r="AA58" i="5"/>
  <c r="AA26" i="5"/>
  <c r="AA21" i="5"/>
  <c r="AA32" i="5"/>
  <c r="AA17" i="5"/>
  <c r="AA38" i="5"/>
  <c r="AA46" i="5"/>
  <c r="AA48" i="5"/>
  <c r="AA37" i="5"/>
  <c r="AA51" i="5"/>
  <c r="AA52" i="5"/>
  <c r="AA33" i="5"/>
  <c r="AA24" i="5"/>
  <c r="AA64" i="5"/>
  <c r="B122" i="7"/>
  <c r="Q73" i="6"/>
  <c r="Q31" i="6"/>
  <c r="Q92" i="6" s="1"/>
  <c r="AA87" i="5"/>
  <c r="F95" i="5"/>
  <c r="AE56" i="5"/>
  <c r="J64" i="5"/>
  <c r="AE64" i="5" s="1"/>
  <c r="J123" i="5"/>
  <c r="F140" i="5"/>
  <c r="F141" i="5"/>
  <c r="S118" i="6"/>
  <c r="D95" i="5"/>
  <c r="Y87" i="5"/>
  <c r="Q118" i="6"/>
  <c r="Q56" i="6"/>
  <c r="Q117" i="6" s="1"/>
  <c r="W87" i="5"/>
  <c r="B95" i="5"/>
  <c r="AD52" i="5"/>
  <c r="AD46" i="5"/>
  <c r="AD38" i="5"/>
  <c r="AD35" i="5"/>
  <c r="AD33" i="5"/>
  <c r="AD15" i="5"/>
  <c r="AD21" i="5"/>
  <c r="AD13" i="5"/>
  <c r="AD34" i="5"/>
  <c r="AD20" i="5"/>
  <c r="AD61" i="5"/>
  <c r="AD58" i="5"/>
  <c r="AD51" i="5"/>
  <c r="AD32" i="5"/>
  <c r="AD24" i="5"/>
  <c r="AD43" i="5"/>
  <c r="AD26" i="5"/>
  <c r="AD23" i="5"/>
  <c r="AD62" i="5"/>
  <c r="AD17" i="5"/>
  <c r="AD14" i="5"/>
  <c r="AD45" i="5"/>
  <c r="AD63" i="5"/>
  <c r="AD42" i="5"/>
  <c r="AD47" i="5"/>
  <c r="AD44" i="5"/>
  <c r="AD31" i="5"/>
  <c r="AD22" i="5"/>
  <c r="AD53" i="5"/>
  <c r="AD50" i="5"/>
  <c r="AD36" i="5"/>
  <c r="AD28" i="5"/>
  <c r="AD16" i="5"/>
  <c r="O140" i="5"/>
  <c r="O141" i="5"/>
  <c r="O142" i="5" s="1"/>
  <c r="G140" i="5"/>
  <c r="G141" i="5"/>
  <c r="Y62" i="5"/>
  <c r="Y58" i="5"/>
  <c r="Y50" i="5"/>
  <c r="Y38" i="5"/>
  <c r="Y51" i="5"/>
  <c r="Y43" i="5"/>
  <c r="Y32" i="5"/>
  <c r="Y17" i="5"/>
  <c r="Y44" i="5"/>
  <c r="Y42" i="5"/>
  <c r="Y16" i="5"/>
  <c r="Y54" i="5"/>
  <c r="Y21" i="5"/>
  <c r="Y13" i="5"/>
  <c r="Y53" i="5"/>
  <c r="Y33" i="5"/>
  <c r="Y34" i="5"/>
  <c r="Y15" i="5"/>
  <c r="Y23" i="5"/>
  <c r="Y45" i="5"/>
  <c r="Y47" i="5"/>
  <c r="Y35" i="5"/>
  <c r="Y20" i="5"/>
  <c r="Y61" i="5"/>
  <c r="Y31" i="5"/>
  <c r="Y28" i="5"/>
  <c r="Y22" i="5"/>
  <c r="Y26" i="5"/>
  <c r="Y14" i="5"/>
  <c r="C140" i="5"/>
  <c r="C141" i="5"/>
  <c r="F136" i="5"/>
  <c r="AA56" i="5"/>
  <c r="I118" i="6"/>
  <c r="I110" i="6"/>
  <c r="I98" i="6"/>
  <c r="I96" i="6"/>
  <c r="I85" i="6"/>
  <c r="I82" i="6"/>
  <c r="I111" i="6"/>
  <c r="I101" i="6"/>
  <c r="I89" i="6"/>
  <c r="I87" i="6"/>
  <c r="I106" i="6"/>
  <c r="I80" i="6"/>
  <c r="I114" i="6"/>
  <c r="I83" i="6"/>
  <c r="I86" i="6"/>
  <c r="I103" i="6"/>
  <c r="I109" i="6"/>
  <c r="I107" i="6"/>
  <c r="I113" i="6"/>
  <c r="I79" i="6"/>
  <c r="I88" i="6"/>
  <c r="I112" i="6"/>
  <c r="I99" i="6"/>
  <c r="I100" i="6"/>
  <c r="I90" i="6"/>
  <c r="I78" i="6"/>
  <c r="I97" i="6"/>
  <c r="O88" i="7"/>
  <c r="L103" i="6"/>
  <c r="E103" i="6"/>
  <c r="E88" i="6"/>
  <c r="E108" i="6"/>
  <c r="E101" i="6"/>
  <c r="E117" i="6"/>
  <c r="E118" i="6"/>
  <c r="E99" i="6"/>
  <c r="E96" i="6"/>
  <c r="E85" i="6"/>
  <c r="E80" i="6"/>
  <c r="E90" i="6"/>
  <c r="E87" i="6"/>
  <c r="E111" i="6"/>
  <c r="E100" i="6"/>
  <c r="E97" i="6"/>
  <c r="E83" i="6"/>
  <c r="E113" i="6"/>
  <c r="E106" i="6"/>
  <c r="E77" i="6"/>
  <c r="E82" i="6"/>
  <c r="E116" i="6"/>
  <c r="E109" i="6"/>
  <c r="E79" i="6"/>
  <c r="E86" i="6"/>
  <c r="E119" i="6"/>
  <c r="E78" i="6"/>
  <c r="O95" i="5"/>
  <c r="AJ87" i="5"/>
  <c r="G100" i="6"/>
  <c r="G90" i="6"/>
  <c r="G87" i="6"/>
  <c r="G86" i="6"/>
  <c r="G119" i="6"/>
  <c r="G111" i="6"/>
  <c r="G99" i="6"/>
  <c r="G97" i="6"/>
  <c r="G89" i="6"/>
  <c r="G114" i="6"/>
  <c r="G116" i="6"/>
  <c r="G106" i="6"/>
  <c r="G83" i="6"/>
  <c r="G79" i="6"/>
  <c r="G107" i="6"/>
  <c r="G101" i="6"/>
  <c r="G112" i="6"/>
  <c r="G109" i="6"/>
  <c r="G88" i="6"/>
  <c r="G82" i="6"/>
  <c r="G118" i="6"/>
  <c r="G98" i="6"/>
  <c r="G85" i="6"/>
  <c r="G78" i="6"/>
  <c r="G96" i="6"/>
  <c r="G80" i="6"/>
  <c r="G117" i="6"/>
  <c r="G103" i="6"/>
  <c r="G113" i="6"/>
  <c r="O123" i="5"/>
  <c r="P38" i="5"/>
  <c r="N95" i="5"/>
  <c r="AI87" i="5"/>
  <c r="F101" i="6"/>
  <c r="F100" i="6"/>
  <c r="F90" i="6"/>
  <c r="F87" i="6"/>
  <c r="F86" i="6"/>
  <c r="F117" i="6"/>
  <c r="F112" i="6"/>
  <c r="F109" i="6"/>
  <c r="F96" i="6"/>
  <c r="F80" i="6"/>
  <c r="F107" i="6"/>
  <c r="F77" i="6"/>
  <c r="F113" i="6"/>
  <c r="F78" i="6"/>
  <c r="F97" i="6"/>
  <c r="F82" i="6"/>
  <c r="F111" i="6"/>
  <c r="F119" i="6"/>
  <c r="F114" i="6"/>
  <c r="F83" i="6"/>
  <c r="F85" i="6"/>
  <c r="F103" i="6"/>
  <c r="F118" i="6"/>
  <c r="F99" i="6"/>
  <c r="F116" i="6"/>
  <c r="F79" i="6"/>
  <c r="F106" i="6"/>
  <c r="F88" i="6"/>
  <c r="W56" i="5"/>
  <c r="B64" i="5"/>
  <c r="W64" i="5" s="1"/>
  <c r="J136" i="5"/>
  <c r="AA54" i="5"/>
  <c r="H135" i="5"/>
  <c r="G38" i="5"/>
  <c r="AB56" i="5" s="1"/>
  <c r="G37" i="5"/>
  <c r="D123" i="5"/>
  <c r="AI56" i="5"/>
  <c r="N123" i="5"/>
  <c r="L114" i="6"/>
  <c r="L113" i="6"/>
  <c r="L109" i="6"/>
  <c r="L107" i="6"/>
  <c r="L106" i="6"/>
  <c r="T95" i="6"/>
  <c r="L88" i="6"/>
  <c r="L90" i="6"/>
  <c r="L86" i="6"/>
  <c r="L82" i="6"/>
  <c r="L100" i="6"/>
  <c r="L78" i="6"/>
  <c r="T77" i="6"/>
  <c r="L111" i="6"/>
  <c r="L97" i="6"/>
  <c r="T90" i="6"/>
  <c r="L89" i="6"/>
  <c r="L83" i="6"/>
  <c r="L79" i="6"/>
  <c r="L101" i="6"/>
  <c r="L87" i="6"/>
  <c r="L98" i="6"/>
  <c r="L85" i="6"/>
  <c r="L99" i="6"/>
  <c r="T76" i="6"/>
  <c r="L110" i="6"/>
  <c r="L96" i="6"/>
  <c r="L112" i="6"/>
  <c r="T78" i="6"/>
  <c r="L80" i="6"/>
  <c r="Q110" i="6"/>
  <c r="Q99" i="6"/>
  <c r="Q87" i="6"/>
  <c r="Q98" i="6"/>
  <c r="Q86" i="6"/>
  <c r="Q85" i="6"/>
  <c r="Q107" i="6"/>
  <c r="Q109" i="6"/>
  <c r="Q97" i="6"/>
  <c r="Q96" i="6"/>
  <c r="Q112" i="6"/>
  <c r="Q101" i="6"/>
  <c r="Q89" i="6"/>
  <c r="Q79" i="6"/>
  <c r="Q111" i="6"/>
  <c r="Q100" i="6"/>
  <c r="Q88" i="6"/>
  <c r="Q78" i="6"/>
  <c r="Q116" i="6"/>
  <c r="Q83" i="6"/>
  <c r="Q114" i="6"/>
  <c r="Q106" i="6"/>
  <c r="Q82" i="6"/>
  <c r="Q113" i="6"/>
  <c r="Q103" i="6"/>
  <c r="Q90" i="6"/>
  <c r="Q80" i="6"/>
  <c r="Q119" i="6"/>
  <c r="O100" i="6"/>
  <c r="O90" i="6"/>
  <c r="O87" i="6"/>
  <c r="O86" i="6"/>
  <c r="O111" i="6"/>
  <c r="O99" i="6"/>
  <c r="O97" i="6"/>
  <c r="O89" i="6"/>
  <c r="O79" i="6"/>
  <c r="O113" i="6"/>
  <c r="O112" i="6"/>
  <c r="O109" i="6"/>
  <c r="O88" i="6"/>
  <c r="O82" i="6"/>
  <c r="O80" i="6"/>
  <c r="O110" i="6"/>
  <c r="O103" i="6"/>
  <c r="O96" i="6"/>
  <c r="O85" i="6"/>
  <c r="O106" i="6"/>
  <c r="O78" i="6"/>
  <c r="O107" i="6"/>
  <c r="O114" i="6"/>
  <c r="O98" i="6"/>
  <c r="O116" i="6"/>
  <c r="O101" i="6"/>
  <c r="O83" i="6"/>
  <c r="H83" i="8"/>
  <c r="M99" i="5"/>
  <c r="M127" i="5"/>
  <c r="M126" i="5"/>
  <c r="AH95" i="5"/>
  <c r="M142" i="5"/>
  <c r="I39" i="8"/>
  <c r="AI44" i="5"/>
  <c r="I41" i="8"/>
  <c r="AI62" i="5"/>
  <c r="AI58" i="5"/>
  <c r="AI51" i="5"/>
  <c r="AI50" i="5"/>
  <c r="AI42" i="5"/>
  <c r="AI20" i="5"/>
  <c r="AI16" i="5"/>
  <c r="I14" i="8" s="1"/>
  <c r="AI32" i="5"/>
  <c r="AI61" i="5"/>
  <c r="AI31" i="5"/>
  <c r="AI23" i="5"/>
  <c r="AI15" i="5"/>
  <c r="AI14" i="5"/>
  <c r="AI38" i="5"/>
  <c r="AI21" i="5"/>
  <c r="AI35" i="5"/>
  <c r="AI22" i="5"/>
  <c r="AI52" i="5"/>
  <c r="AI24" i="5"/>
  <c r="AI47" i="5"/>
  <c r="I43" i="8" s="1"/>
  <c r="AI33" i="5"/>
  <c r="I30" i="8" s="1"/>
  <c r="AI53" i="5"/>
  <c r="I49" i="8" s="1"/>
  <c r="AI34" i="5"/>
  <c r="AI46" i="5"/>
  <c r="AI43" i="5"/>
  <c r="AI26" i="5"/>
  <c r="AI48" i="5"/>
  <c r="AI45" i="5"/>
  <c r="AI17" i="5"/>
  <c r="AI13" i="5"/>
  <c r="B123" i="7"/>
  <c r="I95" i="5"/>
  <c r="AD87" i="5"/>
  <c r="K47" i="8"/>
  <c r="K46" i="8"/>
  <c r="AK28" i="5"/>
  <c r="K68" i="8"/>
  <c r="P37" i="5"/>
  <c r="E141" i="5"/>
  <c r="E140" i="5"/>
  <c r="K112" i="6"/>
  <c r="K83" i="6"/>
  <c r="K114" i="6"/>
  <c r="K113" i="6"/>
  <c r="K109" i="6"/>
  <c r="K107" i="6"/>
  <c r="K106" i="6"/>
  <c r="K118" i="6"/>
  <c r="K110" i="6"/>
  <c r="K99" i="6"/>
  <c r="K97" i="6"/>
  <c r="K98" i="6"/>
  <c r="K86" i="6"/>
  <c r="K100" i="6"/>
  <c r="K78" i="6"/>
  <c r="K96" i="6"/>
  <c r="K90" i="6"/>
  <c r="K85" i="6"/>
  <c r="K80" i="6"/>
  <c r="K88" i="6"/>
  <c r="K79" i="6"/>
  <c r="K87" i="6"/>
  <c r="K111" i="6"/>
  <c r="K82" i="6"/>
  <c r="K101" i="6"/>
  <c r="K89" i="6"/>
  <c r="P73" i="6"/>
  <c r="P31" i="6"/>
  <c r="P92" i="6" s="1"/>
  <c r="D64" i="5"/>
  <c r="Y64" i="5" s="1"/>
  <c r="P140" i="5"/>
  <c r="P142" i="5" s="1"/>
  <c r="P141" i="5"/>
  <c r="AF43" i="5"/>
  <c r="AF63" i="5"/>
  <c r="AF52" i="5"/>
  <c r="AF51" i="5"/>
  <c r="AF26" i="5"/>
  <c r="AF23" i="5"/>
  <c r="AF21" i="5"/>
  <c r="AF14" i="5"/>
  <c r="AF50" i="5"/>
  <c r="AF46" i="5"/>
  <c r="AF62" i="5"/>
  <c r="AF33" i="5"/>
  <c r="AF44" i="5"/>
  <c r="AF42" i="5"/>
  <c r="AF31" i="5"/>
  <c r="AF15" i="5"/>
  <c r="AF53" i="5"/>
  <c r="AF58" i="5"/>
  <c r="AF48" i="5"/>
  <c r="AF47" i="5"/>
  <c r="AF35" i="5"/>
  <c r="AF22" i="5"/>
  <c r="AF20" i="5"/>
  <c r="AF45" i="5"/>
  <c r="AF16" i="5"/>
  <c r="AF61" i="5"/>
  <c r="AF36" i="5"/>
  <c r="AF13" i="5"/>
  <c r="AF38" i="5"/>
  <c r="AF34" i="5"/>
  <c r="AF32" i="5"/>
  <c r="AF24" i="5"/>
  <c r="R118" i="6"/>
  <c r="J82" i="6"/>
  <c r="J112" i="6"/>
  <c r="J83" i="6"/>
  <c r="J118" i="6"/>
  <c r="J88" i="6"/>
  <c r="J85" i="6"/>
  <c r="J106" i="6"/>
  <c r="J114" i="6"/>
  <c r="J98" i="6"/>
  <c r="J86" i="6"/>
  <c r="J107" i="6"/>
  <c r="J99" i="6"/>
  <c r="J111" i="6"/>
  <c r="J80" i="6"/>
  <c r="J113" i="6"/>
  <c r="J90" i="6"/>
  <c r="J89" i="6"/>
  <c r="J109" i="6"/>
  <c r="J100" i="6"/>
  <c r="J78" i="6"/>
  <c r="J101" i="6"/>
  <c r="J110" i="6"/>
  <c r="J96" i="6"/>
  <c r="J87" i="6"/>
  <c r="J79" i="6"/>
  <c r="J97" i="6"/>
  <c r="E139" i="5"/>
  <c r="AG87" i="5"/>
  <c r="L95" i="5"/>
  <c r="N12" i="8"/>
  <c r="C12" i="8" s="1"/>
  <c r="J99" i="5"/>
  <c r="J126" i="5"/>
  <c r="J127" i="5"/>
  <c r="AE95" i="5"/>
  <c r="L64" i="5"/>
  <c r="P64" i="5"/>
  <c r="AK64" i="5" s="1"/>
  <c r="B130" i="7"/>
  <c r="I141" i="5"/>
  <c r="I140" i="5"/>
  <c r="I139" i="5"/>
  <c r="O64" i="5"/>
  <c r="AJ64" i="5" s="1"/>
  <c r="G68" i="8"/>
  <c r="G46" i="8"/>
  <c r="N46" i="8" s="1"/>
  <c r="G47" i="8"/>
  <c r="N47" i="8" s="1"/>
  <c r="L37" i="5"/>
  <c r="L38" i="5"/>
  <c r="N101" i="6"/>
  <c r="N100" i="6"/>
  <c r="N90" i="6"/>
  <c r="N87" i="6"/>
  <c r="N86" i="6"/>
  <c r="N110" i="6"/>
  <c r="N114" i="6"/>
  <c r="N111" i="6"/>
  <c r="N103" i="6"/>
  <c r="N80" i="6"/>
  <c r="N116" i="6"/>
  <c r="N113" i="6"/>
  <c r="N112" i="6"/>
  <c r="N109" i="6"/>
  <c r="N88" i="6"/>
  <c r="N82" i="6"/>
  <c r="N98" i="6"/>
  <c r="N79" i="6"/>
  <c r="N78" i="6"/>
  <c r="N97" i="6"/>
  <c r="N107" i="6"/>
  <c r="N96" i="6"/>
  <c r="N89" i="6"/>
  <c r="N106" i="6"/>
  <c r="N85" i="6"/>
  <c r="N83" i="6"/>
  <c r="N99" i="6"/>
  <c r="N64" i="5"/>
  <c r="AI64" i="5" s="1"/>
  <c r="C37" i="5"/>
  <c r="D135" i="5"/>
  <c r="C38" i="5"/>
  <c r="AD56" i="5"/>
  <c r="I123" i="5"/>
  <c r="F123" i="5"/>
  <c r="AF37" i="5"/>
  <c r="L118" i="6"/>
  <c r="AF56" i="5"/>
  <c r="H126" i="5"/>
  <c r="H99" i="5"/>
  <c r="AC95" i="5"/>
  <c r="H41" i="8"/>
  <c r="AH61" i="5"/>
  <c r="AH47" i="5"/>
  <c r="H43" i="8" s="1"/>
  <c r="AH54" i="5"/>
  <c r="AH53" i="5"/>
  <c r="H49" i="8" s="1"/>
  <c r="AH43" i="5"/>
  <c r="AH34" i="5"/>
  <c r="AH62" i="5"/>
  <c r="AH24" i="5"/>
  <c r="AH51" i="5"/>
  <c r="AH32" i="5"/>
  <c r="AH16" i="5"/>
  <c r="H14" i="8" s="1"/>
  <c r="AH63" i="5"/>
  <c r="AH13" i="5"/>
  <c r="H39" i="8"/>
  <c r="AH58" i="5"/>
  <c r="AH48" i="5"/>
  <c r="AH45" i="5"/>
  <c r="AH42" i="5"/>
  <c r="AH31" i="5"/>
  <c r="AH22" i="5"/>
  <c r="AH33" i="5"/>
  <c r="H30" i="8" s="1"/>
  <c r="AH52" i="5"/>
  <c r="AH35" i="5"/>
  <c r="AH20" i="5"/>
  <c r="AH44" i="5"/>
  <c r="AH50" i="5"/>
  <c r="AH15" i="5"/>
  <c r="AH38" i="5"/>
  <c r="AH23" i="5"/>
  <c r="AH21" i="5"/>
  <c r="AH56" i="5"/>
  <c r="AH46" i="5"/>
  <c r="AH26" i="5"/>
  <c r="AH14" i="5"/>
  <c r="C139" i="5"/>
  <c r="H38" i="5"/>
  <c r="H37" i="5"/>
  <c r="AC37" i="5" s="1"/>
  <c r="P118" i="6"/>
  <c r="P56" i="6"/>
  <c r="P117" i="6" s="1"/>
  <c r="AB87" i="5"/>
  <c r="G95" i="5"/>
  <c r="G142" i="5"/>
  <c r="N141" i="5"/>
  <c r="N140" i="5"/>
  <c r="K132" i="5"/>
  <c r="K130" i="5"/>
  <c r="AF99" i="5"/>
  <c r="K12" i="6"/>
  <c r="O118" i="6"/>
  <c r="C19" i="8"/>
  <c r="D95" i="7"/>
  <c r="C18" i="8"/>
  <c r="D20" i="7" s="1"/>
  <c r="C28" i="8"/>
  <c r="D31" i="7" s="1"/>
  <c r="E31" i="7" s="1"/>
  <c r="F31" i="7" s="1"/>
  <c r="G31" i="7" s="1"/>
  <c r="H31" i="7" s="1"/>
  <c r="I31" i="7" s="1"/>
  <c r="J31" i="7" s="1"/>
  <c r="K31" i="7" s="1"/>
  <c r="Q108" i="6"/>
  <c r="H119" i="6"/>
  <c r="H111" i="6"/>
  <c r="N108" i="6"/>
  <c r="F108" i="6"/>
  <c r="H99" i="6"/>
  <c r="H97" i="6"/>
  <c r="H89" i="6"/>
  <c r="H118" i="6"/>
  <c r="M108" i="6"/>
  <c r="H98" i="6"/>
  <c r="H96" i="6"/>
  <c r="H85" i="6"/>
  <c r="L108" i="6"/>
  <c r="H113" i="6"/>
  <c r="I108" i="6"/>
  <c r="H87" i="6"/>
  <c r="H78" i="6"/>
  <c r="S108" i="6"/>
  <c r="H101" i="6"/>
  <c r="H90" i="6"/>
  <c r="R108" i="6"/>
  <c r="J108" i="6"/>
  <c r="H79" i="6"/>
  <c r="O108" i="6"/>
  <c r="H107" i="6"/>
  <c r="H114" i="6"/>
  <c r="K108" i="6"/>
  <c r="H83" i="6"/>
  <c r="H112" i="6"/>
  <c r="H86" i="6"/>
  <c r="H82" i="6"/>
  <c r="P108" i="6"/>
  <c r="H88" i="6"/>
  <c r="H117" i="6"/>
  <c r="H108" i="6"/>
  <c r="H109" i="6"/>
  <c r="H100" i="6"/>
  <c r="H80" i="6"/>
  <c r="G108" i="6"/>
  <c r="H116" i="6"/>
  <c r="H106" i="6"/>
  <c r="B128" i="7"/>
  <c r="H103" i="6"/>
  <c r="AA63" i="5"/>
  <c r="AI37" i="5"/>
  <c r="L119" i="6"/>
  <c r="C10" i="8"/>
  <c r="C95" i="5"/>
  <c r="X87" i="5"/>
  <c r="AD54" i="5"/>
  <c r="L116" i="6"/>
  <c r="P111" i="6"/>
  <c r="P99" i="6"/>
  <c r="P97" i="6"/>
  <c r="P89" i="6"/>
  <c r="P110" i="6"/>
  <c r="P98" i="6"/>
  <c r="P96" i="6"/>
  <c r="P85" i="6"/>
  <c r="P112" i="6"/>
  <c r="P109" i="6"/>
  <c r="P100" i="6"/>
  <c r="P78" i="6"/>
  <c r="P83" i="6"/>
  <c r="P88" i="6"/>
  <c r="P87" i="6"/>
  <c r="P101" i="6"/>
  <c r="P80" i="6"/>
  <c r="P114" i="6"/>
  <c r="P86" i="6"/>
  <c r="P106" i="6"/>
  <c r="P79" i="6"/>
  <c r="P90" i="6"/>
  <c r="P107" i="6"/>
  <c r="P113" i="6"/>
  <c r="P82" i="6"/>
  <c r="O56" i="6"/>
  <c r="O117" i="6" s="1"/>
  <c r="L140" i="5"/>
  <c r="L141" i="5"/>
  <c r="AD64" i="5"/>
  <c r="E99" i="5"/>
  <c r="Z95" i="5"/>
  <c r="E126" i="5"/>
  <c r="AE46" i="5"/>
  <c r="AE45" i="5"/>
  <c r="AE53" i="5"/>
  <c r="AE61" i="5"/>
  <c r="AE62" i="5"/>
  <c r="AE58" i="5"/>
  <c r="AE44" i="5"/>
  <c r="AE34" i="5"/>
  <c r="AE20" i="5"/>
  <c r="K136" i="5"/>
  <c r="AE52" i="5"/>
  <c r="AE50" i="5"/>
  <c r="AE26" i="5"/>
  <c r="AE36" i="5"/>
  <c r="AE23" i="5"/>
  <c r="AE16" i="5"/>
  <c r="AE14" i="5"/>
  <c r="AE63" i="5"/>
  <c r="AE38" i="5"/>
  <c r="AE32" i="5"/>
  <c r="AE21" i="5"/>
  <c r="AE47" i="5"/>
  <c r="AE28" i="5"/>
  <c r="AE42" i="5"/>
  <c r="AE35" i="5"/>
  <c r="AE51" i="5"/>
  <c r="AE24" i="5"/>
  <c r="AE43" i="5"/>
  <c r="AE15" i="5"/>
  <c r="AE13" i="5"/>
  <c r="AE33" i="5"/>
  <c r="AE22" i="5"/>
  <c r="AE31" i="5"/>
  <c r="Y24" i="5"/>
  <c r="N139" i="5"/>
  <c r="Q136" i="5"/>
  <c r="Q130" i="5"/>
  <c r="J39" i="8"/>
  <c r="AJ53" i="5"/>
  <c r="J49" i="8" s="1"/>
  <c r="AJ42" i="5"/>
  <c r="AJ62" i="5"/>
  <c r="AJ58" i="5"/>
  <c r="AJ50" i="5"/>
  <c r="AJ47" i="5"/>
  <c r="J43" i="8" s="1"/>
  <c r="AJ22" i="5"/>
  <c r="P136" i="5"/>
  <c r="AJ61" i="5"/>
  <c r="AJ51" i="5"/>
  <c r="AJ36" i="5"/>
  <c r="AJ31" i="5"/>
  <c r="AJ23" i="5"/>
  <c r="AJ16" i="5"/>
  <c r="J14" i="8" s="1"/>
  <c r="AJ15" i="5"/>
  <c r="AJ14" i="5"/>
  <c r="J41" i="8"/>
  <c r="AJ45" i="5"/>
  <c r="AJ44" i="5"/>
  <c r="AJ35" i="5"/>
  <c r="AJ46" i="5"/>
  <c r="AJ34" i="5"/>
  <c r="AJ20" i="5"/>
  <c r="AJ54" i="5"/>
  <c r="AJ52" i="5"/>
  <c r="AJ33" i="5"/>
  <c r="J30" i="8" s="1"/>
  <c r="AJ13" i="5"/>
  <c r="P130" i="5"/>
  <c r="AJ43" i="5"/>
  <c r="AJ38" i="5"/>
  <c r="AJ26" i="5"/>
  <c r="AJ21" i="5"/>
  <c r="AJ32" i="5"/>
  <c r="AJ17" i="5"/>
  <c r="C125" i="5"/>
  <c r="F139" i="5"/>
  <c r="AA28" i="5"/>
  <c r="AM87" i="5"/>
  <c r="R95" i="5"/>
  <c r="AB75" i="5"/>
  <c r="H75" i="5"/>
  <c r="AC75" i="5" s="1"/>
  <c r="AH28" i="5"/>
  <c r="AE54" i="5"/>
  <c r="A157" i="7"/>
  <c r="A169" i="7" s="1"/>
  <c r="B89" i="7"/>
  <c r="N89" i="7" s="1"/>
  <c r="C77" i="7"/>
  <c r="D9" i="7"/>
  <c r="O9" i="7"/>
  <c r="O77" i="7"/>
  <c r="C119" i="7" s="1"/>
  <c r="B28" i="7"/>
  <c r="C42" i="7"/>
  <c r="D50" i="7"/>
  <c r="G83" i="7"/>
  <c r="F52" i="7"/>
  <c r="O89" i="7"/>
  <c r="T117" i="6" l="1"/>
  <c r="AM64" i="5"/>
  <c r="AO64" i="5"/>
  <c r="T64" i="5"/>
  <c r="T135" i="5"/>
  <c r="B140" i="7" s="1"/>
  <c r="AO58" i="5"/>
  <c r="AO47" i="5"/>
  <c r="AO26" i="5"/>
  <c r="AO46" i="5"/>
  <c r="AO21" i="5"/>
  <c r="AO45" i="5"/>
  <c r="AO20" i="5"/>
  <c r="AO53" i="5"/>
  <c r="AO44" i="5"/>
  <c r="AO35" i="5"/>
  <c r="T38" i="5"/>
  <c r="AO61" i="5"/>
  <c r="AO31" i="5"/>
  <c r="AO52" i="5"/>
  <c r="AO43" i="5"/>
  <c r="AO34" i="5"/>
  <c r="AO16" i="5"/>
  <c r="AO51" i="5"/>
  <c r="AO42" i="5"/>
  <c r="AO33" i="5"/>
  <c r="AO15" i="5"/>
  <c r="AO62" i="5"/>
  <c r="AO50" i="5"/>
  <c r="AO38" i="5"/>
  <c r="AO32" i="5"/>
  <c r="AO14" i="5"/>
  <c r="AO13" i="5"/>
  <c r="AM23" i="5"/>
  <c r="AM26" i="5"/>
  <c r="AO36" i="5"/>
  <c r="AM58" i="5"/>
  <c r="AM63" i="5"/>
  <c r="AM51" i="5"/>
  <c r="AO24" i="5"/>
  <c r="AM43" i="5"/>
  <c r="AM47" i="5"/>
  <c r="AM54" i="5"/>
  <c r="AM42" i="5"/>
  <c r="AM16" i="5"/>
  <c r="AM36" i="5"/>
  <c r="AM61" i="5"/>
  <c r="AM14" i="5"/>
  <c r="AO48" i="5"/>
  <c r="AO63" i="5"/>
  <c r="AM35" i="5"/>
  <c r="AM38" i="5"/>
  <c r="AM34" i="5"/>
  <c r="AM20" i="5"/>
  <c r="AM32" i="5"/>
  <c r="AO17" i="5"/>
  <c r="AO54" i="5"/>
  <c r="AM33" i="5"/>
  <c r="L30" i="8" s="1"/>
  <c r="AM21" i="5"/>
  <c r="AM44" i="5"/>
  <c r="AM17" i="5"/>
  <c r="AM15" i="5"/>
  <c r="AM13" i="5"/>
  <c r="AM24" i="5"/>
  <c r="AM22" i="5"/>
  <c r="AM31" i="5"/>
  <c r="AM48" i="5"/>
  <c r="AM45" i="5"/>
  <c r="AM53" i="5"/>
  <c r="AM50" i="5"/>
  <c r="AM62" i="5"/>
  <c r="AO95" i="5"/>
  <c r="T95" i="5"/>
  <c r="AM56" i="5"/>
  <c r="AM28" i="5"/>
  <c r="R127" i="5"/>
  <c r="T127" i="5" s="1"/>
  <c r="R126" i="5"/>
  <c r="T126" i="5" s="1"/>
  <c r="AM95" i="5"/>
  <c r="R99" i="5"/>
  <c r="H132" i="5"/>
  <c r="AC99" i="5"/>
  <c r="H130" i="5"/>
  <c r="H12" i="6"/>
  <c r="X43" i="5"/>
  <c r="X51" i="5"/>
  <c r="X62" i="5"/>
  <c r="X58" i="5"/>
  <c r="X53" i="5"/>
  <c r="X50" i="5"/>
  <c r="X26" i="5"/>
  <c r="X23" i="5"/>
  <c r="X14" i="5"/>
  <c r="X33" i="5"/>
  <c r="X32" i="5"/>
  <c r="X48" i="5"/>
  <c r="X38" i="5"/>
  <c r="X35" i="5"/>
  <c r="X22" i="5"/>
  <c r="X61" i="5"/>
  <c r="X31" i="5"/>
  <c r="X36" i="5"/>
  <c r="X13" i="5"/>
  <c r="X15" i="5"/>
  <c r="X34" i="5"/>
  <c r="X21" i="5"/>
  <c r="X45" i="5"/>
  <c r="X42" i="5"/>
  <c r="X47" i="5"/>
  <c r="X44" i="5"/>
  <c r="X20" i="5"/>
  <c r="X16" i="5"/>
  <c r="C136" i="5"/>
  <c r="X17" i="5"/>
  <c r="X54" i="5"/>
  <c r="X24" i="5"/>
  <c r="X63" i="5"/>
  <c r="D136" i="5"/>
  <c r="G39" i="8"/>
  <c r="G41" i="8"/>
  <c r="AG62" i="5"/>
  <c r="AG58" i="5"/>
  <c r="AG50" i="5"/>
  <c r="AG38" i="5"/>
  <c r="AG32" i="5"/>
  <c r="AO23" i="5"/>
  <c r="AG52" i="5"/>
  <c r="AG33" i="5"/>
  <c r="G30" i="8" s="1"/>
  <c r="AG26" i="5"/>
  <c r="AG17" i="5"/>
  <c r="AG53" i="5"/>
  <c r="G49" i="8" s="1"/>
  <c r="AG47" i="5"/>
  <c r="G43" i="8" s="1"/>
  <c r="AG45" i="5"/>
  <c r="AG43" i="5"/>
  <c r="AG35" i="5"/>
  <c r="G32" i="8" s="1"/>
  <c r="AG22" i="5"/>
  <c r="AG46" i="5"/>
  <c r="AG14" i="5"/>
  <c r="AG42" i="5"/>
  <c r="AG20" i="5"/>
  <c r="AG16" i="5"/>
  <c r="G14" i="8" s="1"/>
  <c r="AG51" i="5"/>
  <c r="AG44" i="5"/>
  <c r="AG31" i="5"/>
  <c r="AG54" i="5"/>
  <c r="AG61" i="5"/>
  <c r="AG13" i="5"/>
  <c r="AG34" i="5"/>
  <c r="AG15" i="5"/>
  <c r="AG23" i="5"/>
  <c r="AO22" i="5"/>
  <c r="AG21" i="5"/>
  <c r="AG63" i="5"/>
  <c r="M136" i="5"/>
  <c r="AG48" i="5"/>
  <c r="AG24" i="5"/>
  <c r="AG36" i="5"/>
  <c r="AG64" i="5"/>
  <c r="C14" i="7"/>
  <c r="K41" i="8"/>
  <c r="AK51" i="5"/>
  <c r="AK61" i="5"/>
  <c r="AK47" i="5"/>
  <c r="K43" i="8" s="1"/>
  <c r="K39" i="8"/>
  <c r="AK31" i="5"/>
  <c r="AK13" i="5"/>
  <c r="AK45" i="5"/>
  <c r="AK44" i="5"/>
  <c r="AK35" i="5"/>
  <c r="AK58" i="5"/>
  <c r="AK43" i="5"/>
  <c r="AK42" i="5"/>
  <c r="AK22" i="5"/>
  <c r="AK54" i="5"/>
  <c r="AK33" i="5"/>
  <c r="K30" i="8" s="1"/>
  <c r="AK26" i="5"/>
  <c r="AK62" i="5"/>
  <c r="AK20" i="5"/>
  <c r="AK16" i="5"/>
  <c r="K14" i="8" s="1"/>
  <c r="N14" i="8" s="1"/>
  <c r="C14" i="8" s="1"/>
  <c r="AK50" i="5"/>
  <c r="AK38" i="5"/>
  <c r="AK53" i="5"/>
  <c r="K49" i="8" s="1"/>
  <c r="AK32" i="5"/>
  <c r="AK23" i="5"/>
  <c r="AK17" i="5"/>
  <c r="AK14" i="5"/>
  <c r="AK36" i="5"/>
  <c r="AK21" i="5"/>
  <c r="AK15" i="5"/>
  <c r="AK34" i="5"/>
  <c r="T136" i="5"/>
  <c r="AK48" i="5"/>
  <c r="AK24" i="5"/>
  <c r="AK63" i="5"/>
  <c r="Y95" i="5"/>
  <c r="D126" i="5"/>
  <c r="D99" i="5"/>
  <c r="F126" i="5"/>
  <c r="AA95" i="5"/>
  <c r="F99" i="5"/>
  <c r="R142" i="5"/>
  <c r="T142" i="5" s="1"/>
  <c r="G136" i="5"/>
  <c r="AC52" i="5"/>
  <c r="AC51" i="5"/>
  <c r="AC61" i="5"/>
  <c r="AC45" i="5"/>
  <c r="AC31" i="5"/>
  <c r="AC13" i="5"/>
  <c r="AC47" i="5"/>
  <c r="AC38" i="5"/>
  <c r="AC22" i="5"/>
  <c r="AC54" i="5"/>
  <c r="AC46" i="5"/>
  <c r="AC21" i="5"/>
  <c r="AC58" i="5"/>
  <c r="AC34" i="5"/>
  <c r="AC15" i="5"/>
  <c r="AC32" i="5"/>
  <c r="AC23" i="5"/>
  <c r="AC62" i="5"/>
  <c r="AC14" i="5"/>
  <c r="AC43" i="5"/>
  <c r="AC26" i="5"/>
  <c r="AC42" i="5"/>
  <c r="AC44" i="5"/>
  <c r="AC33" i="5"/>
  <c r="AC16" i="5"/>
  <c r="AC53" i="5"/>
  <c r="AC50" i="5"/>
  <c r="AC35" i="5"/>
  <c r="AC20" i="5"/>
  <c r="AC36" i="5"/>
  <c r="AC63" i="5"/>
  <c r="AC17" i="5"/>
  <c r="AC24" i="5"/>
  <c r="I136" i="5"/>
  <c r="AC48" i="5"/>
  <c r="AC56" i="5"/>
  <c r="AC64" i="5"/>
  <c r="G83" i="8"/>
  <c r="L126" i="5"/>
  <c r="L127" i="5"/>
  <c r="AG95" i="5"/>
  <c r="AQ98" i="5" s="1"/>
  <c r="L99" i="5"/>
  <c r="J83" i="8"/>
  <c r="O127" i="5"/>
  <c r="AJ95" i="5"/>
  <c r="O99" i="5"/>
  <c r="O126" i="5"/>
  <c r="N142" i="5"/>
  <c r="B146" i="7"/>
  <c r="AC28" i="5"/>
  <c r="X28" i="5"/>
  <c r="AG37" i="5"/>
  <c r="I142" i="5"/>
  <c r="AG56" i="5"/>
  <c r="X64" i="5"/>
  <c r="AB37" i="5"/>
  <c r="B99" i="5"/>
  <c r="B126" i="5"/>
  <c r="W95" i="5"/>
  <c r="J12" i="6"/>
  <c r="J130" i="5"/>
  <c r="AE99" i="5"/>
  <c r="J132" i="5"/>
  <c r="N126" i="5"/>
  <c r="AI95" i="5"/>
  <c r="I83" i="8"/>
  <c r="N99" i="5"/>
  <c r="N127" i="5"/>
  <c r="X37" i="5"/>
  <c r="AB53" i="5"/>
  <c r="AB42" i="5"/>
  <c r="AB62" i="5"/>
  <c r="AB58" i="5"/>
  <c r="AB50" i="5"/>
  <c r="AB22" i="5"/>
  <c r="AB43" i="5"/>
  <c r="AB35" i="5"/>
  <c r="AB47" i="5"/>
  <c r="AB38" i="5"/>
  <c r="AB13" i="5"/>
  <c r="AB33" i="5"/>
  <c r="AB26" i="5"/>
  <c r="AB61" i="5"/>
  <c r="AB51" i="5"/>
  <c r="AB36" i="5"/>
  <c r="AB34" i="5"/>
  <c r="AB21" i="5"/>
  <c r="AB15" i="5"/>
  <c r="AB48" i="5"/>
  <c r="AB32" i="5"/>
  <c r="AB17" i="5"/>
  <c r="AB63" i="5"/>
  <c r="AB45" i="5"/>
  <c r="AB46" i="5"/>
  <c r="AB23" i="5"/>
  <c r="AB14" i="5"/>
  <c r="AB52" i="5"/>
  <c r="AB20" i="5"/>
  <c r="AB54" i="5"/>
  <c r="AB44" i="5"/>
  <c r="AB31" i="5"/>
  <c r="AB16" i="5"/>
  <c r="H136" i="5"/>
  <c r="AB24" i="5"/>
  <c r="K31" i="6"/>
  <c r="K73" i="6"/>
  <c r="AB64" i="5"/>
  <c r="I127" i="5"/>
  <c r="AD95" i="5"/>
  <c r="I126" i="5"/>
  <c r="I99" i="5"/>
  <c r="AK56" i="5"/>
  <c r="X56" i="5"/>
  <c r="D85" i="7"/>
  <c r="D24" i="7"/>
  <c r="D28" i="7" s="1"/>
  <c r="L136" i="5"/>
  <c r="AB28" i="5"/>
  <c r="E132" i="5"/>
  <c r="E12" i="6"/>
  <c r="Z99" i="5"/>
  <c r="Z101" i="5"/>
  <c r="E130" i="5"/>
  <c r="Z102" i="5"/>
  <c r="C99" i="5"/>
  <c r="C126" i="5"/>
  <c r="X95" i="5"/>
  <c r="B145" i="7"/>
  <c r="C12" i="7"/>
  <c r="AB95" i="5"/>
  <c r="G99" i="5"/>
  <c r="G126" i="5"/>
  <c r="AG28" i="5"/>
  <c r="M12" i="6"/>
  <c r="M130" i="5"/>
  <c r="AH99" i="5"/>
  <c r="B144" i="7"/>
  <c r="D80" i="7"/>
  <c r="P79" i="7" s="1"/>
  <c r="AK37" i="5"/>
  <c r="E95" i="7"/>
  <c r="B98" i="7"/>
  <c r="B102" i="7" s="1"/>
  <c r="C156" i="7" s="1"/>
  <c r="A158" i="7"/>
  <c r="A159" i="7" s="1"/>
  <c r="B37" i="7"/>
  <c r="C140" i="7"/>
  <c r="P9" i="7"/>
  <c r="E9" i="7"/>
  <c r="P77" i="7"/>
  <c r="D119" i="7" s="1"/>
  <c r="D77" i="7"/>
  <c r="D42" i="7"/>
  <c r="E50" i="7" s="1"/>
  <c r="G52" i="7"/>
  <c r="H83" i="7"/>
  <c r="R131" i="5" l="1"/>
  <c r="R132" i="5"/>
  <c r="R130" i="5"/>
  <c r="N43" i="8"/>
  <c r="N49" i="8"/>
  <c r="N41" i="8"/>
  <c r="N39" i="8"/>
  <c r="D12" i="7"/>
  <c r="D92" i="7" s="1"/>
  <c r="P92" i="7" s="1"/>
  <c r="C43" i="8"/>
  <c r="C49" i="8"/>
  <c r="AO99" i="5"/>
  <c r="T99" i="5"/>
  <c r="M31" i="6"/>
  <c r="M92" i="6" s="1"/>
  <c r="M73" i="6"/>
  <c r="E31" i="6"/>
  <c r="E92" i="6" s="1"/>
  <c r="E73" i="6"/>
  <c r="P85" i="7"/>
  <c r="N12" i="6"/>
  <c r="AI99" i="5"/>
  <c r="N130" i="5"/>
  <c r="J73" i="6"/>
  <c r="J31" i="6"/>
  <c r="O12" i="6"/>
  <c r="O130" i="5"/>
  <c r="AJ99" i="5"/>
  <c r="B132" i="7"/>
  <c r="C41" i="8"/>
  <c r="K56" i="6"/>
  <c r="K92" i="6"/>
  <c r="B131" i="7"/>
  <c r="C39" i="8"/>
  <c r="P99" i="7"/>
  <c r="P80" i="7"/>
  <c r="P95" i="7"/>
  <c r="P84" i="7"/>
  <c r="P105" i="7"/>
  <c r="P100" i="7"/>
  <c r="P83" i="7"/>
  <c r="P87" i="7"/>
  <c r="D46" i="7"/>
  <c r="P93" i="7"/>
  <c r="P104" i="7"/>
  <c r="D44" i="7"/>
  <c r="D140" i="7"/>
  <c r="T131" i="5"/>
  <c r="T130" i="5"/>
  <c r="R12" i="6"/>
  <c r="T132" i="5"/>
  <c r="AM99" i="5"/>
  <c r="D51" i="7"/>
  <c r="D86" i="7"/>
  <c r="P86" i="7" s="1"/>
  <c r="G12" i="6"/>
  <c r="G130" i="5"/>
  <c r="AB99" i="5"/>
  <c r="G132" i="5"/>
  <c r="I12" i="6"/>
  <c r="I132" i="5"/>
  <c r="I130" i="5"/>
  <c r="AD99" i="5"/>
  <c r="B130" i="5"/>
  <c r="B132" i="5"/>
  <c r="W101" i="5"/>
  <c r="B12" i="6"/>
  <c r="W102" i="5"/>
  <c r="W99" i="5"/>
  <c r="F130" i="5"/>
  <c r="AA99" i="5"/>
  <c r="F12" i="6"/>
  <c r="F132" i="5"/>
  <c r="H73" i="6"/>
  <c r="H31" i="6"/>
  <c r="H92" i="6" s="1"/>
  <c r="B141" i="7"/>
  <c r="L12" i="6"/>
  <c r="AG99" i="5"/>
  <c r="L130" i="5"/>
  <c r="L132" i="5"/>
  <c r="AQ43" i="5"/>
  <c r="D14" i="7"/>
  <c r="C132" i="5"/>
  <c r="C12" i="6"/>
  <c r="X99" i="5"/>
  <c r="C130" i="5"/>
  <c r="X101" i="5"/>
  <c r="X102" i="5"/>
  <c r="F95" i="7"/>
  <c r="E80" i="7"/>
  <c r="C92" i="7"/>
  <c r="O92" i="7" s="1"/>
  <c r="E85" i="7"/>
  <c r="F20" i="7"/>
  <c r="E26" i="7"/>
  <c r="E24" i="7"/>
  <c r="D12" i="6"/>
  <c r="Y102" i="5"/>
  <c r="Y101" i="5"/>
  <c r="D130" i="5"/>
  <c r="D132" i="5"/>
  <c r="Y99" i="5"/>
  <c r="C125" i="7"/>
  <c r="M30" i="8"/>
  <c r="C30" i="8" s="1"/>
  <c r="A170" i="7"/>
  <c r="N102" i="7"/>
  <c r="B156" i="7"/>
  <c r="Q9" i="7"/>
  <c r="F9" i="7"/>
  <c r="Q77" i="7"/>
  <c r="E119" i="7" s="1"/>
  <c r="E77" i="7"/>
  <c r="A160" i="7"/>
  <c r="A171" i="7"/>
  <c r="E42" i="7"/>
  <c r="F50" i="7" s="1"/>
  <c r="B38" i="7"/>
  <c r="H52" i="7"/>
  <c r="I83" i="7"/>
  <c r="B137" i="7" l="1"/>
  <c r="B135" i="7"/>
  <c r="T12" i="6"/>
  <c r="T73" i="6"/>
  <c r="Q85" i="7"/>
  <c r="I73" i="6"/>
  <c r="I31" i="6"/>
  <c r="K117" i="6"/>
  <c r="K58" i="6"/>
  <c r="K119" i="6" s="1"/>
  <c r="C31" i="6"/>
  <c r="C92" i="6" s="1"/>
  <c r="C73" i="6"/>
  <c r="B31" i="6"/>
  <c r="B92" i="6" s="1"/>
  <c r="B73" i="6"/>
  <c r="O73" i="6"/>
  <c r="O31" i="6"/>
  <c r="O92" i="6" s="1"/>
  <c r="D88" i="7"/>
  <c r="Q80" i="7"/>
  <c r="Q95" i="7"/>
  <c r="Q99" i="7"/>
  <c r="Q84" i="7"/>
  <c r="Q83" i="7"/>
  <c r="E46" i="7"/>
  <c r="Q79" i="7"/>
  <c r="Q93" i="7"/>
  <c r="Q104" i="7"/>
  <c r="E44" i="7"/>
  <c r="Q100" i="7"/>
  <c r="E12" i="7"/>
  <c r="Q87" i="7"/>
  <c r="E14" i="7"/>
  <c r="E125" i="7" s="1"/>
  <c r="Q105" i="7"/>
  <c r="F73" i="6"/>
  <c r="F31" i="6"/>
  <c r="F92" i="6" s="1"/>
  <c r="J56" i="6"/>
  <c r="J92" i="6"/>
  <c r="D31" i="6"/>
  <c r="D92" i="6" s="1"/>
  <c r="D73" i="6"/>
  <c r="F80" i="7"/>
  <c r="R79" i="7" s="1"/>
  <c r="G79" i="7"/>
  <c r="G95" i="7" s="1"/>
  <c r="R31" i="6"/>
  <c r="R73" i="6"/>
  <c r="D125" i="7"/>
  <c r="E28" i="7"/>
  <c r="L31" i="6"/>
  <c r="L73" i="6"/>
  <c r="N73" i="6"/>
  <c r="N31" i="6"/>
  <c r="N92" i="6" s="1"/>
  <c r="B136" i="7"/>
  <c r="F85" i="7"/>
  <c r="F24" i="7"/>
  <c r="G20" i="7"/>
  <c r="F26" i="7"/>
  <c r="G73" i="6"/>
  <c r="G31" i="6"/>
  <c r="G92" i="6" s="1"/>
  <c r="F42" i="7"/>
  <c r="G50" i="7" s="1"/>
  <c r="C168" i="7"/>
  <c r="B168" i="7" s="1"/>
  <c r="N35" i="7"/>
  <c r="N33" i="7"/>
  <c r="N54" i="7"/>
  <c r="N13" i="7"/>
  <c r="N43" i="7"/>
  <c r="N14" i="7"/>
  <c r="N45" i="7"/>
  <c r="N34" i="7"/>
  <c r="N62" i="7"/>
  <c r="N42" i="7"/>
  <c r="N23" i="7"/>
  <c r="N22" i="7"/>
  <c r="N21" i="7"/>
  <c r="N44" i="7"/>
  <c r="N38" i="7"/>
  <c r="N46" i="7"/>
  <c r="N52" i="7"/>
  <c r="N47" i="7"/>
  <c r="N59" i="7"/>
  <c r="N32" i="7"/>
  <c r="N16" i="7"/>
  <c r="N48" i="7"/>
  <c r="N50" i="7"/>
  <c r="N36" i="7"/>
  <c r="N26" i="7"/>
  <c r="N15" i="7"/>
  <c r="N31" i="7"/>
  <c r="N12" i="7"/>
  <c r="N51" i="7"/>
  <c r="N17" i="7"/>
  <c r="N63" i="7"/>
  <c r="N20" i="7"/>
  <c r="N57" i="7"/>
  <c r="N55" i="7"/>
  <c r="N24" i="7"/>
  <c r="N64" i="7"/>
  <c r="N28" i="7"/>
  <c r="N65" i="7"/>
  <c r="N37" i="7"/>
  <c r="A172" i="7"/>
  <c r="A161" i="7"/>
  <c r="F77" i="7"/>
  <c r="R77" i="7"/>
  <c r="F119" i="7" s="1"/>
  <c r="R9" i="7"/>
  <c r="G9" i="7"/>
  <c r="I52" i="7"/>
  <c r="J83" i="7"/>
  <c r="R92" i="6" l="1"/>
  <c r="T92" i="6"/>
  <c r="R85" i="7"/>
  <c r="F28" i="7"/>
  <c r="F140" i="7" s="1"/>
  <c r="G85" i="7"/>
  <c r="G24" i="7"/>
  <c r="H20" i="7"/>
  <c r="G26" i="7"/>
  <c r="D89" i="7"/>
  <c r="P89" i="7" s="1"/>
  <c r="P88" i="7"/>
  <c r="E140" i="7"/>
  <c r="E51" i="7"/>
  <c r="E86" i="7"/>
  <c r="J117" i="6"/>
  <c r="J58" i="6"/>
  <c r="J119" i="6" s="1"/>
  <c r="H79" i="7"/>
  <c r="H95" i="7" s="1"/>
  <c r="G80" i="7"/>
  <c r="I56" i="6"/>
  <c r="I92" i="6"/>
  <c r="R104" i="7"/>
  <c r="F44" i="7"/>
  <c r="R80" i="7"/>
  <c r="R87" i="7"/>
  <c r="R95" i="7"/>
  <c r="R83" i="7"/>
  <c r="F46" i="7"/>
  <c r="R99" i="7"/>
  <c r="R84" i="7"/>
  <c r="R100" i="7"/>
  <c r="R93" i="7"/>
  <c r="F12" i="7"/>
  <c r="F92" i="7" s="1"/>
  <c r="R92" i="7" s="1"/>
  <c r="R105" i="7"/>
  <c r="F14" i="7"/>
  <c r="F125" i="7" s="1"/>
  <c r="L92" i="6"/>
  <c r="T31" i="6"/>
  <c r="E92" i="7"/>
  <c r="Q92" i="7" s="1"/>
  <c r="G42" i="7"/>
  <c r="H50" i="7" s="1"/>
  <c r="S77" i="7"/>
  <c r="G119" i="7" s="1"/>
  <c r="G77" i="7"/>
  <c r="S9" i="7"/>
  <c r="H9" i="7"/>
  <c r="A173" i="7"/>
  <c r="A162" i="7"/>
  <c r="J52" i="7"/>
  <c r="K83" i="7"/>
  <c r="F86" i="7" l="1"/>
  <c r="F51" i="7"/>
  <c r="I117" i="6"/>
  <c r="I58" i="6"/>
  <c r="I119" i="6" s="1"/>
  <c r="S79" i="7"/>
  <c r="S99" i="7"/>
  <c r="G46" i="7"/>
  <c r="S105" i="7"/>
  <c r="G44" i="7"/>
  <c r="S95" i="7"/>
  <c r="S84" i="7"/>
  <c r="S83" i="7"/>
  <c r="S93" i="7"/>
  <c r="G14" i="7"/>
  <c r="G125" i="7" s="1"/>
  <c r="S104" i="7"/>
  <c r="S87" i="7"/>
  <c r="S80" i="7"/>
  <c r="G12" i="7"/>
  <c r="G92" i="7" s="1"/>
  <c r="S92" i="7" s="1"/>
  <c r="S100" i="7"/>
  <c r="H24" i="7"/>
  <c r="I20" i="7"/>
  <c r="H85" i="7"/>
  <c r="H26" i="7"/>
  <c r="H80" i="7"/>
  <c r="I79" i="7"/>
  <c r="I95" i="7" s="1"/>
  <c r="G28" i="7"/>
  <c r="Q86" i="7"/>
  <c r="E88" i="7"/>
  <c r="S85" i="7"/>
  <c r="H42" i="7"/>
  <c r="I50" i="7" s="1"/>
  <c r="A174" i="7"/>
  <c r="A163" i="7"/>
  <c r="T77" i="7"/>
  <c r="H119" i="7" s="1"/>
  <c r="H77" i="7"/>
  <c r="T9" i="7"/>
  <c r="I9" i="7"/>
  <c r="F88" i="7" l="1"/>
  <c r="R86" i="7"/>
  <c r="T79" i="7"/>
  <c r="T85" i="7"/>
  <c r="T100" i="7"/>
  <c r="T104" i="7"/>
  <c r="T83" i="7"/>
  <c r="H46" i="7"/>
  <c r="T87" i="7"/>
  <c r="T80" i="7"/>
  <c r="H12" i="7"/>
  <c r="H92" i="7" s="1"/>
  <c r="T92" i="7" s="1"/>
  <c r="T99" i="7"/>
  <c r="H44" i="7"/>
  <c r="T95" i="7"/>
  <c r="H14" i="7"/>
  <c r="H125" i="7" s="1"/>
  <c r="T93" i="7"/>
  <c r="T105" i="7"/>
  <c r="T84" i="7"/>
  <c r="Q88" i="7"/>
  <c r="E89" i="7"/>
  <c r="Q89" i="7" s="1"/>
  <c r="I85" i="7"/>
  <c r="I24" i="7"/>
  <c r="I26" i="7"/>
  <c r="J20" i="7"/>
  <c r="H28" i="7"/>
  <c r="G51" i="7"/>
  <c r="G140" i="7"/>
  <c r="G86" i="7"/>
  <c r="I80" i="7"/>
  <c r="J79" i="7"/>
  <c r="J95" i="7" s="1"/>
  <c r="K95" i="7" s="1"/>
  <c r="I42" i="7"/>
  <c r="J50" i="7" s="1"/>
  <c r="A175" i="7"/>
  <c r="A164" i="7"/>
  <c r="A176" i="7" s="1"/>
  <c r="I77" i="7"/>
  <c r="U9" i="7"/>
  <c r="J9" i="7"/>
  <c r="U77" i="7"/>
  <c r="I119" i="7" s="1"/>
  <c r="R88" i="7" l="1"/>
  <c r="F89" i="7"/>
  <c r="R89" i="7" s="1"/>
  <c r="H86" i="7"/>
  <c r="H51" i="7"/>
  <c r="H140" i="7"/>
  <c r="K20" i="7"/>
  <c r="J26" i="7"/>
  <c r="K26" i="7" s="1"/>
  <c r="J24" i="7"/>
  <c r="J85" i="7"/>
  <c r="J80" i="7"/>
  <c r="W80" i="7" s="1"/>
  <c r="K79" i="7"/>
  <c r="I28" i="7"/>
  <c r="U79" i="7"/>
  <c r="U93" i="7"/>
  <c r="U104" i="7"/>
  <c r="U95" i="7"/>
  <c r="I14" i="7"/>
  <c r="I125" i="7" s="1"/>
  <c r="U84" i="7"/>
  <c r="I12" i="7"/>
  <c r="I92" i="7" s="1"/>
  <c r="U92" i="7" s="1"/>
  <c r="U83" i="7"/>
  <c r="U80" i="7"/>
  <c r="U100" i="7"/>
  <c r="I44" i="7"/>
  <c r="U87" i="7"/>
  <c r="I46" i="7"/>
  <c r="U99" i="7"/>
  <c r="U105" i="7"/>
  <c r="U85" i="7"/>
  <c r="S86" i="7"/>
  <c r="G88" i="7"/>
  <c r="J42" i="7"/>
  <c r="K42" i="7" s="1"/>
  <c r="K50" i="7"/>
  <c r="V9" i="7"/>
  <c r="V77" i="7"/>
  <c r="J119" i="7" s="1"/>
  <c r="J77" i="7"/>
  <c r="J28" i="7" l="1"/>
  <c r="K24" i="7"/>
  <c r="W84" i="7"/>
  <c r="W95" i="7"/>
  <c r="V79" i="7"/>
  <c r="V95" i="7"/>
  <c r="V104" i="7"/>
  <c r="W93" i="7"/>
  <c r="V84" i="7"/>
  <c r="W87" i="7"/>
  <c r="V100" i="7"/>
  <c r="V83" i="7"/>
  <c r="V87" i="7"/>
  <c r="V80" i="7"/>
  <c r="J44" i="7"/>
  <c r="K44" i="7" s="1"/>
  <c r="W100" i="7"/>
  <c r="V105" i="7"/>
  <c r="W83" i="7"/>
  <c r="V93" i="7"/>
  <c r="J46" i="7"/>
  <c r="J14" i="7"/>
  <c r="K14" i="7" s="1"/>
  <c r="V99" i="7"/>
  <c r="J12" i="7"/>
  <c r="K80" i="7"/>
  <c r="W79" i="7"/>
  <c r="W85" i="7"/>
  <c r="V85" i="7"/>
  <c r="K85" i="7"/>
  <c r="S88" i="7"/>
  <c r="G89" i="7"/>
  <c r="S89" i="7" s="1"/>
  <c r="W99" i="7"/>
  <c r="I140" i="7"/>
  <c r="I86" i="7"/>
  <c r="I51" i="7"/>
  <c r="T86" i="7"/>
  <c r="H88" i="7"/>
  <c r="J125" i="7" l="1"/>
  <c r="K125" i="7" s="1"/>
  <c r="T88" i="7"/>
  <c r="H89" i="7"/>
  <c r="T89" i="7" s="1"/>
  <c r="K12" i="7"/>
  <c r="J92" i="7"/>
  <c r="I88" i="7"/>
  <c r="U86" i="7"/>
  <c r="J140" i="7"/>
  <c r="K140" i="7" s="1"/>
  <c r="K28" i="7"/>
  <c r="J51" i="7"/>
  <c r="K51" i="7" s="1"/>
  <c r="J86" i="7"/>
  <c r="K92" i="7" l="1"/>
  <c r="V92" i="7"/>
  <c r="W92" i="7"/>
  <c r="U88" i="7"/>
  <c r="I89" i="7"/>
  <c r="U89" i="7" s="1"/>
  <c r="J88" i="7"/>
  <c r="W86" i="7"/>
  <c r="K86" i="7"/>
  <c r="V86" i="7"/>
  <c r="K88" i="7" l="1"/>
  <c r="J89" i="7"/>
  <c r="W88" i="7"/>
  <c r="V88" i="7"/>
  <c r="K89" i="7" l="1"/>
  <c r="V89" i="7"/>
  <c r="W89" i="7"/>
  <c r="V12" i="7" l="1"/>
  <c r="V14" i="7"/>
  <c r="V15" i="7"/>
  <c r="J16" i="7"/>
  <c r="K16" i="7" s="1"/>
  <c r="V20" i="7"/>
  <c r="V21" i="7"/>
  <c r="V22" i="7"/>
  <c r="V23" i="7"/>
  <c r="V24" i="7"/>
  <c r="V26" i="7"/>
  <c r="V28" i="7"/>
  <c r="V31" i="7"/>
  <c r="V32" i="7"/>
  <c r="J33" i="7"/>
  <c r="V33" i="7"/>
  <c r="V34" i="7"/>
  <c r="J35" i="7"/>
  <c r="V35" i="7" s="1"/>
  <c r="K35" i="7"/>
  <c r="K38" i="7"/>
  <c r="V38" i="7"/>
  <c r="V42" i="7"/>
  <c r="J43" i="7"/>
  <c r="V43" i="7" s="1"/>
  <c r="V44" i="7"/>
  <c r="J45" i="7"/>
  <c r="K45" i="7" s="1"/>
  <c r="V46" i="7"/>
  <c r="J47" i="7"/>
  <c r="K47" i="7"/>
  <c r="V47" i="7"/>
  <c r="V50" i="7"/>
  <c r="V51" i="7"/>
  <c r="V52" i="7"/>
  <c r="J53" i="7"/>
  <c r="K53" i="7" s="1"/>
  <c r="V59" i="7"/>
  <c r="V62" i="7"/>
  <c r="C176" i="7"/>
  <c r="J48" i="7" l="1"/>
  <c r="V45" i="7"/>
  <c r="J36" i="7"/>
  <c r="V16" i="7"/>
  <c r="V36" i="7" l="1"/>
  <c r="K36" i="7"/>
  <c r="J37" i="7"/>
  <c r="V48" i="7"/>
  <c r="K48" i="7"/>
  <c r="V37" i="7" l="1"/>
  <c r="K37" i="7"/>
  <c r="O91" i="7"/>
  <c r="O101" i="7"/>
  <c r="O12" i="7"/>
  <c r="P12" i="7"/>
  <c r="Q12" i="7"/>
  <c r="R12" i="7"/>
  <c r="S12" i="7"/>
  <c r="T12" i="7"/>
  <c r="U12" i="7"/>
  <c r="W12" i="7"/>
  <c r="C13" i="7"/>
  <c r="D13" i="7"/>
  <c r="E13" i="7"/>
  <c r="F13" i="7"/>
  <c r="G13" i="7"/>
  <c r="H13" i="7"/>
  <c r="I13" i="7"/>
  <c r="J13" i="7"/>
  <c r="O13" i="7"/>
  <c r="P13" i="7"/>
  <c r="Q13" i="7"/>
  <c r="R13" i="7"/>
  <c r="S13" i="7"/>
  <c r="T13" i="7"/>
  <c r="U13" i="7"/>
  <c r="V13" i="7"/>
  <c r="W13" i="7"/>
  <c r="O14" i="7"/>
  <c r="P14" i="7"/>
  <c r="Q14" i="7"/>
  <c r="R14" i="7"/>
  <c r="S14" i="7"/>
  <c r="T14" i="7"/>
  <c r="U14" i="7"/>
  <c r="W14" i="7"/>
  <c r="O15" i="7"/>
  <c r="P15" i="7"/>
  <c r="Q15" i="7"/>
  <c r="R15" i="7"/>
  <c r="S15" i="7"/>
  <c r="T15" i="7"/>
  <c r="U15" i="7"/>
  <c r="W15" i="7"/>
  <c r="C16" i="7"/>
  <c r="D16" i="7"/>
  <c r="E16" i="7"/>
  <c r="F16" i="7"/>
  <c r="G16" i="7"/>
  <c r="H16" i="7"/>
  <c r="I16" i="7"/>
  <c r="O16" i="7"/>
  <c r="P16" i="7"/>
  <c r="Q16" i="7"/>
  <c r="R16" i="7"/>
  <c r="S16" i="7"/>
  <c r="T16" i="7"/>
  <c r="U16" i="7"/>
  <c r="W16" i="7"/>
  <c r="C17" i="7"/>
  <c r="D17" i="7"/>
  <c r="E17" i="7"/>
  <c r="F17" i="7"/>
  <c r="G17" i="7"/>
  <c r="H17" i="7"/>
  <c r="I17" i="7"/>
  <c r="J17" i="7"/>
  <c r="K17" i="7"/>
  <c r="O17" i="7"/>
  <c r="P17" i="7"/>
  <c r="Q17" i="7"/>
  <c r="R17" i="7"/>
  <c r="S17" i="7"/>
  <c r="T17" i="7"/>
  <c r="U17" i="7"/>
  <c r="V17" i="7"/>
  <c r="W17" i="7"/>
  <c r="O20" i="7"/>
  <c r="P20" i="7"/>
  <c r="Q20" i="7"/>
  <c r="R20" i="7"/>
  <c r="S20" i="7"/>
  <c r="T20" i="7"/>
  <c r="U20" i="7"/>
  <c r="W20" i="7"/>
  <c r="O21" i="7"/>
  <c r="P21" i="7"/>
  <c r="Q21" i="7"/>
  <c r="R21" i="7"/>
  <c r="S21" i="7"/>
  <c r="T21" i="7"/>
  <c r="U21" i="7"/>
  <c r="W21" i="7"/>
  <c r="O22" i="7"/>
  <c r="P22" i="7"/>
  <c r="Q22" i="7"/>
  <c r="R22" i="7"/>
  <c r="S22" i="7"/>
  <c r="T22" i="7"/>
  <c r="U22" i="7"/>
  <c r="W22" i="7"/>
  <c r="O23" i="7"/>
  <c r="P23" i="7"/>
  <c r="Q23" i="7"/>
  <c r="R23" i="7"/>
  <c r="S23" i="7"/>
  <c r="T23" i="7"/>
  <c r="U23" i="7"/>
  <c r="W23" i="7"/>
  <c r="O24" i="7"/>
  <c r="P24" i="7"/>
  <c r="Q24" i="7"/>
  <c r="R24" i="7"/>
  <c r="S24" i="7"/>
  <c r="T24" i="7"/>
  <c r="U24" i="7"/>
  <c r="W24" i="7"/>
  <c r="O26" i="7"/>
  <c r="P26" i="7"/>
  <c r="Q26" i="7"/>
  <c r="R26" i="7"/>
  <c r="S26" i="7"/>
  <c r="T26" i="7"/>
  <c r="U26" i="7"/>
  <c r="W26" i="7"/>
  <c r="O28" i="7"/>
  <c r="P28" i="7"/>
  <c r="Q28" i="7"/>
  <c r="R28" i="7"/>
  <c r="S28" i="7"/>
  <c r="T28" i="7"/>
  <c r="U28" i="7"/>
  <c r="W28" i="7"/>
  <c r="O31" i="7"/>
  <c r="P31" i="7"/>
  <c r="Q31" i="7"/>
  <c r="R31" i="7"/>
  <c r="S31" i="7"/>
  <c r="T31" i="7"/>
  <c r="U31" i="7"/>
  <c r="W31" i="7"/>
  <c r="O32" i="7"/>
  <c r="P32" i="7"/>
  <c r="Q32" i="7"/>
  <c r="R32" i="7"/>
  <c r="S32" i="7"/>
  <c r="T32" i="7"/>
  <c r="U32" i="7"/>
  <c r="W32" i="7"/>
  <c r="C33" i="7"/>
  <c r="D33" i="7"/>
  <c r="E33" i="7"/>
  <c r="F33" i="7"/>
  <c r="G33" i="7"/>
  <c r="H33" i="7"/>
  <c r="I33" i="7"/>
  <c r="O33" i="7"/>
  <c r="P33" i="7"/>
  <c r="Q33" i="7"/>
  <c r="R33" i="7"/>
  <c r="S33" i="7"/>
  <c r="T33" i="7"/>
  <c r="U33" i="7"/>
  <c r="W33" i="7"/>
  <c r="O34" i="7"/>
  <c r="P34" i="7"/>
  <c r="Q34" i="7"/>
  <c r="R34" i="7"/>
  <c r="S34" i="7"/>
  <c r="T34" i="7"/>
  <c r="U34" i="7"/>
  <c r="W34" i="7"/>
  <c r="C35" i="7"/>
  <c r="D35" i="7"/>
  <c r="E35" i="7"/>
  <c r="F35" i="7"/>
  <c r="G35" i="7"/>
  <c r="H35" i="7"/>
  <c r="I35" i="7"/>
  <c r="O35" i="7"/>
  <c r="P35" i="7"/>
  <c r="Q35" i="7"/>
  <c r="R35" i="7"/>
  <c r="S35" i="7"/>
  <c r="T35" i="7"/>
  <c r="U35" i="7"/>
  <c r="W35" i="7"/>
  <c r="C36" i="7"/>
  <c r="D36" i="7"/>
  <c r="E36" i="7"/>
  <c r="F36" i="7"/>
  <c r="G36" i="7"/>
  <c r="H36" i="7"/>
  <c r="I36" i="7"/>
  <c r="O36" i="7"/>
  <c r="P36" i="7"/>
  <c r="Q36" i="7"/>
  <c r="R36" i="7"/>
  <c r="S36" i="7"/>
  <c r="T36" i="7"/>
  <c r="U36" i="7"/>
  <c r="W36" i="7"/>
  <c r="C37" i="7"/>
  <c r="D37" i="7"/>
  <c r="E37" i="7"/>
  <c r="F37" i="7"/>
  <c r="G37" i="7"/>
  <c r="H37" i="7"/>
  <c r="I37" i="7"/>
  <c r="O37" i="7"/>
  <c r="P37" i="7"/>
  <c r="Q37" i="7"/>
  <c r="R37" i="7"/>
  <c r="S37" i="7"/>
  <c r="T37" i="7"/>
  <c r="U37" i="7"/>
  <c r="W37" i="7"/>
  <c r="C38" i="7"/>
  <c r="D38" i="7"/>
  <c r="E38" i="7"/>
  <c r="F38" i="7"/>
  <c r="G38" i="7"/>
  <c r="H38" i="7"/>
  <c r="I38" i="7"/>
  <c r="O38" i="7"/>
  <c r="P38" i="7"/>
  <c r="Q38" i="7"/>
  <c r="R38" i="7"/>
  <c r="S38" i="7"/>
  <c r="T38" i="7"/>
  <c r="U38" i="7"/>
  <c r="W38" i="7"/>
  <c r="O42" i="7"/>
  <c r="P42" i="7"/>
  <c r="Q42" i="7"/>
  <c r="R42" i="7"/>
  <c r="S42" i="7"/>
  <c r="T42" i="7"/>
  <c r="U42" i="7"/>
  <c r="W42" i="7"/>
  <c r="C43" i="7"/>
  <c r="D43" i="7"/>
  <c r="E43" i="7"/>
  <c r="F43" i="7"/>
  <c r="G43" i="7"/>
  <c r="H43" i="7"/>
  <c r="I43" i="7"/>
  <c r="O43" i="7"/>
  <c r="P43" i="7"/>
  <c r="Q43" i="7"/>
  <c r="R43" i="7"/>
  <c r="S43" i="7"/>
  <c r="T43" i="7"/>
  <c r="U43" i="7"/>
  <c r="W43" i="7"/>
  <c r="O44" i="7"/>
  <c r="P44" i="7"/>
  <c r="Q44" i="7"/>
  <c r="R44" i="7"/>
  <c r="S44" i="7"/>
  <c r="T44" i="7"/>
  <c r="U44" i="7"/>
  <c r="W44" i="7"/>
  <c r="C45" i="7"/>
  <c r="D45" i="7"/>
  <c r="E45" i="7"/>
  <c r="F45" i="7"/>
  <c r="G45" i="7"/>
  <c r="H45" i="7"/>
  <c r="I45" i="7"/>
  <c r="O45" i="7"/>
  <c r="P45" i="7"/>
  <c r="Q45" i="7"/>
  <c r="R45" i="7"/>
  <c r="S45" i="7"/>
  <c r="T45" i="7"/>
  <c r="U45" i="7"/>
  <c r="W45" i="7"/>
  <c r="O46" i="7"/>
  <c r="P46" i="7"/>
  <c r="Q46" i="7"/>
  <c r="R46" i="7"/>
  <c r="S46" i="7"/>
  <c r="T46" i="7"/>
  <c r="U46" i="7"/>
  <c r="W46" i="7"/>
  <c r="C47" i="7"/>
  <c r="D47" i="7"/>
  <c r="E47" i="7"/>
  <c r="F47" i="7"/>
  <c r="G47" i="7"/>
  <c r="H47" i="7"/>
  <c r="I47" i="7"/>
  <c r="O47" i="7"/>
  <c r="P47" i="7"/>
  <c r="Q47" i="7"/>
  <c r="R47" i="7"/>
  <c r="S47" i="7"/>
  <c r="T47" i="7"/>
  <c r="U47" i="7"/>
  <c r="W47" i="7"/>
  <c r="C48" i="7"/>
  <c r="D48" i="7"/>
  <c r="E48" i="7"/>
  <c r="F48" i="7"/>
  <c r="G48" i="7"/>
  <c r="H48" i="7"/>
  <c r="I48" i="7"/>
  <c r="O48" i="7"/>
  <c r="P48" i="7"/>
  <c r="Q48" i="7"/>
  <c r="R48" i="7"/>
  <c r="S48" i="7"/>
  <c r="T48" i="7"/>
  <c r="U48" i="7"/>
  <c r="W48" i="7"/>
  <c r="O50" i="7"/>
  <c r="P50" i="7"/>
  <c r="Q50" i="7"/>
  <c r="R50" i="7"/>
  <c r="S50" i="7"/>
  <c r="T50" i="7"/>
  <c r="U50" i="7"/>
  <c r="W50" i="7"/>
  <c r="O51" i="7"/>
  <c r="P51" i="7"/>
  <c r="Q51" i="7"/>
  <c r="R51" i="7"/>
  <c r="S51" i="7"/>
  <c r="T51" i="7"/>
  <c r="U51" i="7"/>
  <c r="W51" i="7"/>
  <c r="O52" i="7"/>
  <c r="P52" i="7"/>
  <c r="Q52" i="7"/>
  <c r="R52" i="7"/>
  <c r="S52" i="7"/>
  <c r="T52" i="7"/>
  <c r="U52" i="7"/>
  <c r="W52" i="7"/>
  <c r="C53" i="7"/>
  <c r="D53" i="7"/>
  <c r="E53" i="7"/>
  <c r="F53" i="7"/>
  <c r="G53" i="7"/>
  <c r="H53" i="7"/>
  <c r="I53" i="7"/>
  <c r="C54" i="7"/>
  <c r="D54" i="7"/>
  <c r="E54" i="7"/>
  <c r="F54" i="7"/>
  <c r="G54" i="7"/>
  <c r="H54" i="7"/>
  <c r="I54" i="7"/>
  <c r="J54" i="7"/>
  <c r="O54" i="7"/>
  <c r="P54" i="7"/>
  <c r="Q54" i="7"/>
  <c r="R54" i="7"/>
  <c r="S54" i="7"/>
  <c r="T54" i="7"/>
  <c r="U54" i="7"/>
  <c r="V54" i="7"/>
  <c r="W54" i="7"/>
  <c r="C55" i="7"/>
  <c r="D55" i="7"/>
  <c r="E55" i="7"/>
  <c r="F55" i="7"/>
  <c r="G55" i="7"/>
  <c r="H55" i="7"/>
  <c r="I55" i="7"/>
  <c r="J55" i="7"/>
  <c r="K55" i="7"/>
  <c r="O55" i="7"/>
  <c r="P55" i="7"/>
  <c r="Q55" i="7"/>
  <c r="R55" i="7"/>
  <c r="S55" i="7"/>
  <c r="T55" i="7"/>
  <c r="U55" i="7"/>
  <c r="V55" i="7"/>
  <c r="W55" i="7"/>
  <c r="C57" i="7"/>
  <c r="D57" i="7"/>
  <c r="E57" i="7"/>
  <c r="F57" i="7"/>
  <c r="G57" i="7"/>
  <c r="H57" i="7"/>
  <c r="I57" i="7"/>
  <c r="J57" i="7"/>
  <c r="K57" i="7"/>
  <c r="O57" i="7"/>
  <c r="P57" i="7"/>
  <c r="Q57" i="7"/>
  <c r="R57" i="7"/>
  <c r="S57" i="7"/>
  <c r="T57" i="7"/>
  <c r="U57" i="7"/>
  <c r="V57" i="7"/>
  <c r="W57" i="7"/>
  <c r="O59" i="7"/>
  <c r="P59" i="7"/>
  <c r="Q59" i="7"/>
  <c r="R59" i="7"/>
  <c r="S59" i="7"/>
  <c r="T59" i="7"/>
  <c r="U59" i="7"/>
  <c r="W59" i="7"/>
  <c r="O62" i="7"/>
  <c r="P62" i="7"/>
  <c r="Q62" i="7"/>
  <c r="R62" i="7"/>
  <c r="S62" i="7"/>
  <c r="T62" i="7"/>
  <c r="U62" i="7"/>
  <c r="W62" i="7"/>
  <c r="C63" i="7"/>
  <c r="D63" i="7"/>
  <c r="E63" i="7"/>
  <c r="F63" i="7"/>
  <c r="G63" i="7"/>
  <c r="H63" i="7"/>
  <c r="I63" i="7"/>
  <c r="J63" i="7"/>
  <c r="K63" i="7"/>
  <c r="O63" i="7"/>
  <c r="P63" i="7"/>
  <c r="Q63" i="7"/>
  <c r="R63" i="7"/>
  <c r="S63" i="7"/>
  <c r="T63" i="7"/>
  <c r="U63" i="7"/>
  <c r="V63" i="7"/>
  <c r="W63" i="7"/>
  <c r="C64" i="7"/>
  <c r="D64" i="7"/>
  <c r="E64" i="7"/>
  <c r="F64" i="7"/>
  <c r="G64" i="7"/>
  <c r="H64" i="7"/>
  <c r="I64" i="7"/>
  <c r="J64" i="7"/>
  <c r="K64" i="7"/>
  <c r="O64" i="7"/>
  <c r="P64" i="7"/>
  <c r="Q64" i="7"/>
  <c r="R64" i="7"/>
  <c r="S64" i="7"/>
  <c r="T64" i="7"/>
  <c r="U64" i="7"/>
  <c r="V64" i="7"/>
  <c r="W64" i="7"/>
  <c r="C65" i="7"/>
  <c r="D65" i="7"/>
  <c r="E65" i="7"/>
  <c r="F65" i="7"/>
  <c r="G65" i="7"/>
  <c r="H65" i="7"/>
  <c r="I65" i="7"/>
  <c r="J65" i="7"/>
  <c r="K65" i="7"/>
  <c r="O65" i="7"/>
  <c r="P65" i="7"/>
  <c r="Q65" i="7"/>
  <c r="R65" i="7"/>
  <c r="S65" i="7"/>
  <c r="T65" i="7"/>
  <c r="U65" i="7"/>
  <c r="V65" i="7"/>
  <c r="W65" i="7"/>
  <c r="C67" i="7"/>
  <c r="D67" i="7"/>
  <c r="E67" i="7"/>
  <c r="F67" i="7"/>
  <c r="G67" i="7"/>
  <c r="H67" i="7"/>
  <c r="I67" i="7"/>
  <c r="J67" i="7"/>
  <c r="C68" i="7"/>
  <c r="D68" i="7"/>
  <c r="E68" i="7"/>
  <c r="F68" i="7"/>
  <c r="G68" i="7"/>
  <c r="H68" i="7"/>
  <c r="I68" i="7"/>
  <c r="J68" i="7"/>
  <c r="D91" i="7"/>
  <c r="E91" i="7"/>
  <c r="F91" i="7"/>
  <c r="G91" i="7"/>
  <c r="H91" i="7"/>
  <c r="I91" i="7"/>
  <c r="J91" i="7"/>
  <c r="K91" i="7"/>
  <c r="P91" i="7"/>
  <c r="Q91" i="7"/>
  <c r="R91" i="7"/>
  <c r="S91" i="7"/>
  <c r="T91" i="7"/>
  <c r="U91" i="7"/>
  <c r="V91" i="7"/>
  <c r="W91" i="7"/>
  <c r="C94" i="7"/>
  <c r="D94" i="7"/>
  <c r="E94" i="7"/>
  <c r="F94" i="7"/>
  <c r="G94" i="7"/>
  <c r="H94" i="7"/>
  <c r="I94" i="7"/>
  <c r="J94" i="7"/>
  <c r="O94" i="7"/>
  <c r="P94" i="7"/>
  <c r="Q94" i="7"/>
  <c r="R94" i="7"/>
  <c r="S94" i="7"/>
  <c r="T94" i="7"/>
  <c r="U94" i="7"/>
  <c r="V94" i="7"/>
  <c r="W94" i="7"/>
  <c r="C96" i="7"/>
  <c r="D96" i="7"/>
  <c r="E96" i="7"/>
  <c r="F96" i="7"/>
  <c r="G96" i="7"/>
  <c r="H96" i="7"/>
  <c r="I96" i="7"/>
  <c r="J96" i="7"/>
  <c r="K96" i="7"/>
  <c r="O96" i="7"/>
  <c r="P96" i="7"/>
  <c r="Q96" i="7"/>
  <c r="R96" i="7"/>
  <c r="S96" i="7"/>
  <c r="T96" i="7"/>
  <c r="U96" i="7"/>
  <c r="V96" i="7"/>
  <c r="W96" i="7"/>
  <c r="C98" i="7"/>
  <c r="D98" i="7"/>
  <c r="E98" i="7"/>
  <c r="F98" i="7"/>
  <c r="G98" i="7"/>
  <c r="H98" i="7"/>
  <c r="I98" i="7"/>
  <c r="J98" i="7"/>
  <c r="K98" i="7"/>
  <c r="D101" i="7"/>
  <c r="E101" i="7"/>
  <c r="F101" i="7"/>
  <c r="G101" i="7"/>
  <c r="H101" i="7"/>
  <c r="I101" i="7"/>
  <c r="J101" i="7"/>
  <c r="K101" i="7"/>
  <c r="P101" i="7"/>
  <c r="Q101" i="7"/>
  <c r="R101" i="7"/>
  <c r="S101" i="7"/>
  <c r="T101" i="7"/>
  <c r="U101" i="7"/>
  <c r="V101" i="7"/>
  <c r="W101" i="7"/>
  <c r="C102" i="7"/>
  <c r="D102" i="7"/>
  <c r="E102" i="7"/>
  <c r="F102" i="7"/>
  <c r="G102" i="7"/>
  <c r="H102" i="7"/>
  <c r="I102" i="7"/>
  <c r="J102" i="7"/>
  <c r="K102" i="7"/>
  <c r="O102" i="7"/>
  <c r="P102" i="7"/>
  <c r="Q102" i="7"/>
  <c r="R102" i="7"/>
  <c r="S102" i="7"/>
  <c r="T102" i="7"/>
  <c r="U102" i="7"/>
  <c r="V102" i="7"/>
  <c r="W102" i="7"/>
  <c r="C122" i="7"/>
  <c r="D122" i="7"/>
  <c r="E122" i="7"/>
  <c r="F122" i="7"/>
  <c r="G122" i="7"/>
  <c r="H122" i="7"/>
  <c r="I122" i="7"/>
  <c r="J122" i="7"/>
  <c r="K122" i="7"/>
  <c r="C123" i="7"/>
  <c r="D123" i="7"/>
  <c r="E123" i="7"/>
  <c r="F123" i="7"/>
  <c r="G123" i="7"/>
  <c r="H123" i="7"/>
  <c r="I123" i="7"/>
  <c r="J123" i="7"/>
  <c r="K123" i="7"/>
  <c r="C124" i="7"/>
  <c r="D124" i="7"/>
  <c r="E124" i="7"/>
  <c r="F124" i="7"/>
  <c r="G124" i="7"/>
  <c r="H124" i="7"/>
  <c r="I124" i="7"/>
  <c r="J124" i="7"/>
  <c r="K124" i="7"/>
  <c r="C128" i="7"/>
  <c r="D128" i="7"/>
  <c r="E128" i="7"/>
  <c r="F128" i="7"/>
  <c r="G128" i="7"/>
  <c r="H128" i="7"/>
  <c r="I128" i="7"/>
  <c r="J128" i="7"/>
  <c r="K128" i="7"/>
  <c r="C129" i="7"/>
  <c r="D129" i="7"/>
  <c r="E129" i="7"/>
  <c r="F129" i="7"/>
  <c r="G129" i="7"/>
  <c r="H129" i="7"/>
  <c r="I129" i="7"/>
  <c r="J129" i="7"/>
  <c r="K129" i="7"/>
  <c r="C130" i="7"/>
  <c r="D130" i="7"/>
  <c r="E130" i="7"/>
  <c r="F130" i="7"/>
  <c r="G130" i="7"/>
  <c r="H130" i="7"/>
  <c r="I130" i="7"/>
  <c r="J130" i="7"/>
  <c r="K130" i="7"/>
  <c r="C131" i="7"/>
  <c r="D131" i="7"/>
  <c r="E131" i="7"/>
  <c r="F131" i="7"/>
  <c r="G131" i="7"/>
  <c r="H131" i="7"/>
  <c r="I131" i="7"/>
  <c r="J131" i="7"/>
  <c r="K131" i="7"/>
  <c r="C132" i="7"/>
  <c r="D132" i="7"/>
  <c r="E132" i="7"/>
  <c r="F132" i="7"/>
  <c r="G132" i="7"/>
  <c r="H132" i="7"/>
  <c r="I132" i="7"/>
  <c r="J132" i="7"/>
  <c r="K132" i="7"/>
  <c r="C135" i="7"/>
  <c r="D135" i="7"/>
  <c r="E135" i="7"/>
  <c r="F135" i="7"/>
  <c r="G135" i="7"/>
  <c r="H135" i="7"/>
  <c r="I135" i="7"/>
  <c r="J135" i="7"/>
  <c r="K135" i="7"/>
  <c r="C136" i="7"/>
  <c r="D136" i="7"/>
  <c r="E136" i="7"/>
  <c r="F136" i="7"/>
  <c r="G136" i="7"/>
  <c r="H136" i="7"/>
  <c r="I136" i="7"/>
  <c r="J136" i="7"/>
  <c r="K136" i="7"/>
  <c r="C137" i="7"/>
  <c r="D137" i="7"/>
  <c r="E137" i="7"/>
  <c r="F137" i="7"/>
  <c r="G137" i="7"/>
  <c r="H137" i="7"/>
  <c r="I137" i="7"/>
  <c r="J137" i="7"/>
  <c r="K137" i="7"/>
  <c r="C141" i="7"/>
  <c r="D141" i="7"/>
  <c r="E141" i="7"/>
  <c r="F141" i="7"/>
  <c r="G141" i="7"/>
  <c r="H141" i="7"/>
  <c r="I141" i="7"/>
  <c r="J141" i="7"/>
  <c r="K141" i="7"/>
  <c r="C144" i="7"/>
  <c r="D144" i="7"/>
  <c r="E144" i="7"/>
  <c r="F144" i="7"/>
  <c r="G144" i="7"/>
  <c r="H144" i="7"/>
  <c r="I144" i="7"/>
  <c r="J144" i="7"/>
  <c r="K144" i="7"/>
  <c r="C145" i="7"/>
  <c r="D145" i="7"/>
  <c r="E145" i="7"/>
  <c r="F145" i="7"/>
  <c r="G145" i="7"/>
  <c r="H145" i="7"/>
  <c r="I145" i="7"/>
  <c r="J145" i="7"/>
  <c r="K145" i="7"/>
  <c r="C146" i="7"/>
  <c r="D146" i="7"/>
  <c r="E146" i="7"/>
  <c r="F146" i="7"/>
  <c r="G146" i="7"/>
  <c r="H146" i="7"/>
  <c r="I146" i="7"/>
  <c r="J146" i="7"/>
  <c r="K146" i="7"/>
  <c r="C148" i="7"/>
  <c r="D148" i="7"/>
  <c r="E148" i="7"/>
  <c r="F148" i="7"/>
  <c r="G148" i="7"/>
  <c r="H148" i="7"/>
  <c r="I148" i="7"/>
  <c r="J148" i="7"/>
  <c r="C150" i="7"/>
  <c r="D150" i="7"/>
  <c r="E150" i="7"/>
  <c r="F150" i="7"/>
  <c r="G150" i="7"/>
  <c r="H150" i="7"/>
  <c r="I150" i="7"/>
  <c r="J150" i="7"/>
  <c r="K150" i="7"/>
  <c r="B157" i="7"/>
  <c r="C157" i="7"/>
  <c r="B158" i="7"/>
  <c r="C158" i="7"/>
  <c r="B159" i="7"/>
  <c r="C159" i="7"/>
  <c r="B160" i="7"/>
  <c r="C160" i="7"/>
  <c r="B161" i="7"/>
  <c r="C161" i="7"/>
  <c r="B162" i="7"/>
  <c r="C162" i="7"/>
  <c r="B163" i="7"/>
  <c r="C163" i="7"/>
  <c r="B164" i="7"/>
  <c r="C164" i="7"/>
  <c r="B169" i="7"/>
  <c r="C169" i="7"/>
  <c r="B170" i="7"/>
  <c r="C170" i="7"/>
  <c r="B171" i="7"/>
  <c r="C171" i="7"/>
  <c r="B172" i="7"/>
  <c r="C172" i="7"/>
  <c r="B173" i="7"/>
  <c r="C173" i="7"/>
  <c r="B174" i="7"/>
  <c r="C174" i="7"/>
  <c r="B175" i="7"/>
  <c r="C175" i="7"/>
  <c r="B176" i="7"/>
</calcChain>
</file>

<file path=xl/sharedStrings.xml><?xml version="1.0" encoding="utf-8"?>
<sst xmlns="http://schemas.openxmlformats.org/spreadsheetml/2006/main" count="442" uniqueCount="254">
  <si>
    <t>Account Name</t>
  </si>
  <si>
    <t>Accounts Payable</t>
  </si>
  <si>
    <t>Accounts Receivable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</si>
  <si>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</si>
  <si>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</si>
  <si>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</si>
  <si>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</si>
  <si>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</si>
  <si>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</si>
  <si>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</si>
  <si>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</si>
  <si>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</si>
  <si>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</si>
  <si>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</si>
  <si>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</si>
  <si>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</si>
  <si>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</si>
  <si>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</si>
  <si>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</si>
  <si>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</si>
  <si>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</si>
  <si>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</si>
  <si>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</si>
  <si>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</si>
  <si>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</si>
  <si>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</si>
  <si>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</si>
  <si>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</si>
  <si>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</si>
  <si>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</si>
  <si>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</si>
  <si>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</si>
  <si>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</si>
  <si>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</si>
  <si>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</si>
  <si>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</si>
  <si>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</si>
  <si>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</si>
  <si>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</si>
  <si>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</si>
  <si>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</si>
  <si>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</si>
  <si>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PacifiCorp</t>
  </si>
  <si>
    <t>Extraordinary Items</t>
  </si>
  <si>
    <t>Revenues</t>
  </si>
  <si>
    <t>Total Revenues</t>
  </si>
  <si>
    <t>Preferred Stock Dividends</t>
  </si>
  <si>
    <t>Common Stock Dividends</t>
  </si>
  <si>
    <t>Material, Supplies, Fuel</t>
  </si>
  <si>
    <t>Other PP&amp;E</t>
  </si>
  <si>
    <t>Accumulated Depreciation &amp; Amort.</t>
  </si>
  <si>
    <t>Net Plant &amp; Equipment</t>
  </si>
  <si>
    <t>Regulatory Assets</t>
  </si>
  <si>
    <t>Intangible Assets-net</t>
  </si>
  <si>
    <t>Deferred Charges and Other</t>
  </si>
  <si>
    <t>Investments in Affiliates</t>
  </si>
  <si>
    <t>Current Maturities LTD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</si>
  <si>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</si>
  <si>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</si>
  <si>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</si>
  <si>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</si>
  <si>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</si>
  <si>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</si>
  <si>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</si>
  <si>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</si>
  <si>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</si>
  <si>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</si>
  <si>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</si>
  <si>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Commercial Paper Ratings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</si>
  <si>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</si>
  <si>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</si>
  <si>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</si>
  <si>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</si>
  <si>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</si>
  <si>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to net cash provided by operating activities:</t>
  </si>
  <si>
    <t xml:space="preserve">       Gain on disposal of discontinued operations</t>
  </si>
  <si>
    <t>-</t>
  </si>
  <si>
    <t xml:space="preserve">       Cumulative effect of accounting change, net of tax</t>
  </si>
  <si>
    <t xml:space="preserve">       Unrealized gain on derivative contracts</t>
  </si>
  <si>
    <t xml:space="preserve">       Depreciation and amortization</t>
  </si>
  <si>
    <t xml:space="preserve">       Deferred income taxes and investment tax credits - net</t>
  </si>
  <si>
    <t xml:space="preserve">       (Gain) loss on sale of subsidiary and assets</t>
  </si>
  <si>
    <t xml:space="preserve">       Regulatory asset/liability establishment and amortization</t>
  </si>
  <si>
    <t xml:space="preserve">       Other</t>
  </si>
  <si>
    <t xml:space="preserve">   Changes in: </t>
  </si>
  <si>
    <t xml:space="preserve">      Accounts receivable, prepayments and other current assets</t>
  </si>
  <si>
    <t xml:space="preserve">      Inventories</t>
  </si>
  <si>
    <t xml:space="preserve">      Accounts payable and accrued liabilities</t>
  </si>
  <si>
    <t xml:space="preserve">      Other</t>
  </si>
  <si>
    <t>Net cash provided by operating activities</t>
  </si>
  <si>
    <t>Cash flows from investing activities:</t>
  </si>
  <si>
    <t>Investments affilated and partent companies-net</t>
  </si>
  <si>
    <t xml:space="preserve">     Capital expenditures</t>
  </si>
  <si>
    <t xml:space="preserve">     Proceeds from sales of assets</t>
  </si>
  <si>
    <t xml:space="preserve">     Proceeds from sales of finance assets and principal payments</t>
  </si>
  <si>
    <t xml:space="preserve">     Proceeds from available-for-sale securities</t>
  </si>
  <si>
    <t xml:space="preserve">     Purchases of available-for-sale securities</t>
  </si>
  <si>
    <t xml:space="preserve">     Other</t>
  </si>
  <si>
    <t>Net cash used in investing activities</t>
  </si>
  <si>
    <t>Cash flows from financing activities:</t>
  </si>
  <si>
    <t xml:space="preserve">     Changes in short-term debt</t>
  </si>
  <si>
    <t xml:space="preserve">     Proceeds from long-term debt, net of issuance costs</t>
  </si>
  <si>
    <t xml:space="preserve">     Proceeds from issuance of common stock to PHI</t>
  </si>
  <si>
    <t xml:space="preserve">     Dividends paid</t>
  </si>
  <si>
    <t xml:space="preserve">     Repayments and redemptions of long-term debt</t>
  </si>
  <si>
    <t xml:space="preserve">     Repayment of preferred securities</t>
  </si>
  <si>
    <t xml:space="preserve">     Redemptions of preferred stock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</si>
  <si>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</si>
  <si>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</si>
  <si>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</si>
  <si>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</si>
  <si>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</si>
  <si>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Cash Flows as a Percent of Revenues</t>
  </si>
  <si>
    <t>Exhibit 1</t>
  </si>
  <si>
    <t>page 3 of 7</t>
  </si>
  <si>
    <t>page 6 of 7</t>
  </si>
  <si>
    <t>page 5 of 7</t>
  </si>
  <si>
    <t>page 7 of 7</t>
  </si>
  <si>
    <t>page 4 of 7</t>
  </si>
  <si>
    <t>page 1 of 7</t>
  </si>
  <si>
    <t>page 2 of 7</t>
  </si>
  <si>
    <t>Forecast Balance Sheets</t>
  </si>
  <si>
    <t>Historical</t>
  </si>
  <si>
    <t>Forecast</t>
  </si>
  <si>
    <t>Wtd. Avg.</t>
  </si>
  <si>
    <t>Pct. Of Assets</t>
  </si>
  <si>
    <t>Difference</t>
  </si>
  <si>
    <t>Previous Value</t>
  </si>
  <si>
    <t>Difference in Total Assets &amp; Total Liabilities</t>
  </si>
  <si>
    <t>Forecast Year</t>
  </si>
  <si>
    <t>Asset Value</t>
  </si>
  <si>
    <t>FORECAST ASSUMPTIONS</t>
  </si>
  <si>
    <t>Company Name</t>
  </si>
  <si>
    <t>Inflation (GDP)</t>
  </si>
  <si>
    <t>of total assets</t>
  </si>
  <si>
    <t>Surplus Cash</t>
  </si>
  <si>
    <t>Additonal Loans</t>
  </si>
  <si>
    <t>Period</t>
  </si>
  <si>
    <t>Short-term debt Rate</t>
  </si>
  <si>
    <t>Rate on Cash balances</t>
  </si>
  <si>
    <t>Plant in Service</t>
  </si>
  <si>
    <t>Construction Work in Progress</t>
  </si>
  <si>
    <t xml:space="preserve">     Proceeds from issuance of common stock/equity contribution</t>
  </si>
  <si>
    <t xml:space="preserve">    Investments in affilated companies-net</t>
  </si>
  <si>
    <t>Forecast Income Statements</t>
  </si>
  <si>
    <t>Forecast Financial Ratios</t>
  </si>
  <si>
    <t>Difference in Net Income</t>
  </si>
  <si>
    <t>Common Equity</t>
  </si>
  <si>
    <t>Australian Electric Operations</t>
  </si>
  <si>
    <t>Operating Sales and Revenues: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</si>
  <si>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</si>
  <si>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</si>
  <si>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</si>
  <si>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</si>
  <si>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</si>
  <si>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</si>
  <si>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</si>
  <si>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Other operations and maintenance</t>
  </si>
  <si>
    <t>Depreciation and amortization</t>
  </si>
  <si>
    <t>Other Operating Expenses</t>
  </si>
  <si>
    <t>Taxes, other than income taxes</t>
  </si>
  <si>
    <t>Interest expense (net)</t>
  </si>
  <si>
    <t>Interest income</t>
  </si>
  <si>
    <t>Loss (Gain) on Sale of Assets</t>
  </si>
  <si>
    <t>Other (Income) Expense</t>
  </si>
  <si>
    <t>Financial Assets/Derivatives</t>
  </si>
  <si>
    <t>Derivative Contacts</t>
  </si>
  <si>
    <t>Derivative Contracts</t>
  </si>
  <si>
    <t>Short-term Debt</t>
  </si>
  <si>
    <t>Accrued Expenses</t>
  </si>
  <si>
    <t>Energy Costs</t>
  </si>
  <si>
    <t>Other Long-term Liabilities</t>
  </si>
  <si>
    <t>Forecast Common Size Balance Sheets</t>
  </si>
  <si>
    <t>Description</t>
  </si>
  <si>
    <t>Comments</t>
  </si>
  <si>
    <t>percent of assets</t>
  </si>
  <si>
    <t>computer calculation</t>
  </si>
  <si>
    <t>fixed amount</t>
  </si>
  <si>
    <t>percent of revenues</t>
  </si>
  <si>
    <t>percent of LTD</t>
  </si>
  <si>
    <t xml:space="preserve">average </t>
  </si>
  <si>
    <t>constant at 2009 amount</t>
  </si>
  <si>
    <t>Common Size Forecast Income Statements</t>
  </si>
  <si>
    <t>Interest Expense (Income) on Additional Loans (Surplus Cash)</t>
  </si>
  <si>
    <t>of average cash balance</t>
  </si>
  <si>
    <t>computer calculation based on average surplus cash and additional loans times s-t and l-t debt interest</t>
  </si>
  <si>
    <t>constant</t>
  </si>
  <si>
    <t>of EBT</t>
  </si>
  <si>
    <t>last year's LTD less last year's current maturities</t>
  </si>
  <si>
    <t>Additional Loans Rate</t>
  </si>
  <si>
    <t>Revenues/Fixed Assets</t>
  </si>
  <si>
    <t>Revenues/Total Assets</t>
  </si>
  <si>
    <t>A/BBB+</t>
  </si>
  <si>
    <t xml:space="preserve">      Derivative Collateral, net</t>
  </si>
  <si>
    <t>page 3 of 5</t>
  </si>
  <si>
    <t>page 1 of 5</t>
  </si>
  <si>
    <t>page 5 of 5</t>
  </si>
  <si>
    <t>page 4 of 5</t>
  </si>
  <si>
    <t>page 2 of 5</t>
  </si>
  <si>
    <t>Manually estimated to keep capital structure in expected range of 50-53%</t>
  </si>
  <si>
    <t>Exhibit 2</t>
  </si>
  <si>
    <t>Total Other (Income)/Expense</t>
  </si>
  <si>
    <t>Days Revenues Cash</t>
  </si>
  <si>
    <t xml:space="preserve">     Common Stock Dividends paid</t>
  </si>
  <si>
    <t>Times Interest Earned plus Depr.</t>
  </si>
  <si>
    <t xml:space="preserve">     Preferred Stock Dividends paid</t>
  </si>
  <si>
    <t>estimated growth rate,</t>
  </si>
  <si>
    <t xml:space="preserve">of revenues, </t>
  </si>
  <si>
    <t>avg pct. of  assets</t>
  </si>
  <si>
    <t>of assets</t>
  </si>
  <si>
    <t>Pct.of net plant</t>
  </si>
  <si>
    <t xml:space="preserve">      Income taxes, net</t>
  </si>
  <si>
    <t>A-2</t>
  </si>
  <si>
    <t>Bond Rating (senior secured/stand alone)</t>
  </si>
  <si>
    <t>Revenue forecast</t>
  </si>
  <si>
    <t xml:space="preserve"> </t>
  </si>
  <si>
    <t>2019 and after</t>
  </si>
  <si>
    <t>Percent of net plant</t>
  </si>
  <si>
    <t>---</t>
  </si>
  <si>
    <t>See calc to the right</t>
  </si>
  <si>
    <t>fuel and O&amp;M growth rate</t>
  </si>
  <si>
    <t>2011-2015</t>
  </si>
  <si>
    <t xml:space="preserve">estimate: Value Line 3-5 year at 2.50 percent, </t>
  </si>
  <si>
    <t>2012-2015</t>
  </si>
  <si>
    <t>2014-2015</t>
  </si>
  <si>
    <t>Average of Inflation rate and 2010-2015 growth rate through 2017, then straight line to inflation rate by 2020.</t>
  </si>
  <si>
    <t>A+/A</t>
  </si>
  <si>
    <t>A-1</t>
  </si>
  <si>
    <t>2015 10-K forecast suggests total Cap ex under 1000 million/year in 2016-2017</t>
  </si>
  <si>
    <t>2016 cost of average s-t and l-t debt</t>
  </si>
  <si>
    <t>Inflation rate</t>
  </si>
  <si>
    <t>x 2011</t>
  </si>
  <si>
    <t>Total Capital ($ millions)</t>
  </si>
  <si>
    <t xml:space="preserve">  </t>
  </si>
  <si>
    <t>2011-2016</t>
  </si>
  <si>
    <t>2010-2016</t>
  </si>
  <si>
    <t>2012-2016</t>
  </si>
  <si>
    <t>percent of plant in service, then growing after 2017 at 5.00-3.44=1.56% rate to reflect slower replacement. The 5.00 is the growth in accumulated depreciation, 3.44 is the plant in service average growth rate.</t>
  </si>
  <si>
    <t>estimated from 2015-2016</t>
  </si>
  <si>
    <t>2014-2016</t>
  </si>
  <si>
    <t>per Dec 2016 10-K</t>
  </si>
  <si>
    <t>of plant in service, 2014-2016</t>
  </si>
  <si>
    <t>2015-2016</t>
  </si>
  <si>
    <t>2016= 75% of revenue growth for 2017-2018, then 85% of revenue growth to reflect no major plant additions</t>
  </si>
  <si>
    <t>Plant in Service after 2018</t>
  </si>
  <si>
    <t>average of 2013-2016, increases to 33% by end of forecast</t>
  </si>
  <si>
    <t>Actual 2011-2016 growth rate, for 2017-2019 1/2 of growth rate</t>
  </si>
  <si>
    <t>For 2019 add $740 million for planned wind development</t>
  </si>
  <si>
    <t>For 2020 add 4% of $740 million for planned wind development in 2019</t>
  </si>
  <si>
    <t>average of 2015-2016 percent of revenues</t>
  </si>
  <si>
    <t>3 Mos.</t>
  </si>
  <si>
    <t>Mar. 2017</t>
  </si>
  <si>
    <t>Fiscal Years Ended December 31, 2011-2016; Three Months Ended March 31, 2017</t>
  </si>
  <si>
    <t>2014-2016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</si>
</sst>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0.000%"/>
    <numFmt numFmtId="165" formatCode="#,##0.0_);\(#,##0.0\)"/>
    <numFmt numFmtId="166" formatCode="&quot;$&quot;#,##0.0_);\(&quot;$&quot;#,##0.0\)"/>
    <numFmt numFmtId="167" formatCode="#,##0.0"/>
    <numFmt numFmtId="168" formatCode="#,##0.000_);\(#,##0.000\)"/>
    <numFmt numFmtId="169" formatCode="0.00_);\(0.00\)"/>
    <numFmt numFmtId="170" formatCode="&quot;$&quot;#,##0.00000_);\(&quot;$&quot;#,##0.00000\)"/>
    <numFmt numFmtId="171" formatCode="&quot;$&quot;#,##0"/>
    <numFmt numFmtId="172" formatCode="#,##0.0000_);[Red]\(#,##0.0000\)"/>
  </numFmts>
  <fonts count="2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double">
        <color indexed="64"/>
      </bottom>
      <diagonal/>
    </border>
    <border>
      <left/>
      <right/>
      <top style="thin">
        <color indexed="0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11">
    <xf numFmtId="0" fontId="0" fillId="0" borderId="0"/>
    <xf numFmtId="3" fontId="10" fillId="2" borderId="0"/>
    <xf numFmtId="7" fontId="10" fillId="2" borderId="0"/>
    <xf numFmtId="5" fontId="10" fillId="2" borderId="0"/>
    <xf numFmtId="0" fontId="10" fillId="2" borderId="0"/>
    <xf numFmtId="2" fontId="10" fillId="2" borderId="0"/>
    <xf numFmtId="0" fontId="1" fillId="2" borderId="0"/>
    <xf numFmtId="0" fontId="2" fillId="2" borderId="0"/>
    <xf numFmtId="0" fontId="10" fillId="0" borderId="0" applyFill="0" applyBorder="0"/>
    <xf numFmtId="10" fontId="10" fillId="2" borderId="0"/>
    <xf numFmtId="0" fontId="10" fillId="2" borderId="1"/>
  </cellStyleXfs>
  <cellXfs count="345">
    <xf numFmtId="5" fontId="0" fillId="2" borderId="0" xfId="0" applyNumberFormat="1" applyFill="1"/>
    <xf numFmtId="10" fontId="0" fillId="2" borderId="0" xfId="0" applyNumberFormat="1" applyFill="1"/>
    <xf numFmtId="5" fontId="5" fillId="2" borderId="0" xfId="0" applyNumberFormat="1" applyFont="1" applyFill="1"/>
    <xf numFmtId="5" fontId="5" fillId="2" borderId="2" xfId="0" applyNumberFormat="1" applyFont="1" applyFill="1" applyBorder="1"/>
    <xf numFmtId="0" fontId="5" fillId="2" borderId="2" xfId="0" applyFont="1" applyFill="1" applyBorder="1"/>
    <xf numFmtId="10" fontId="5" fillId="2" borderId="0" xfId="0" applyNumberFormat="1" applyFont="1" applyFill="1"/>
    <xf numFmtId="10" fontId="5" fillId="2" borderId="2" xfId="0" applyNumberFormat="1" applyFont="1" applyFill="1" applyBorder="1"/>
    <xf numFmtId="10" fontId="5" fillId="2" borderId="3" xfId="0" applyNumberFormat="1" applyFont="1" applyFill="1" applyBorder="1"/>
    <xf numFmtId="2" fontId="5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10" fontId="5" fillId="2" borderId="2" xfId="0" applyNumberFormat="1" applyFont="1" applyFill="1" applyBorder="1" applyAlignment="1">
      <alignment horizontal="right"/>
    </xf>
    <xf numFmtId="10" fontId="5" fillId="2" borderId="4" xfId="0" applyNumberFormat="1" applyFont="1" applyFill="1" applyBorder="1"/>
    <xf numFmtId="10" fontId="5" fillId="2" borderId="0" xfId="0" applyNumberFormat="1" applyFont="1" applyFill="1" applyBorder="1"/>
    <xf numFmtId="5" fontId="5" fillId="2" borderId="0" xfId="0" applyNumberFormat="1" applyFont="1" applyFill="1" applyBorder="1"/>
    <xf numFmtId="5" fontId="5" fillId="2" borderId="4" xfId="0" applyNumberFormat="1" applyFont="1" applyFill="1" applyBorder="1"/>
    <xf numFmtId="5" fontId="0" fillId="2" borderId="0" xfId="0" applyNumberForma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 applyAlignment="1">
      <alignment horizontal="right"/>
    </xf>
    <xf numFmtId="0" fontId="10" fillId="2" borderId="0" xfId="8" applyFill="1"/>
    <xf numFmtId="0" fontId="9" fillId="0" borderId="0" xfId="8" applyFont="1" applyFill="1" applyBorder="1" applyAlignment="1">
      <alignment vertical="center"/>
    </xf>
    <xf numFmtId="165" fontId="9" fillId="2" borderId="0" xfId="8" applyNumberFormat="1" applyFont="1" applyFill="1" applyBorder="1" applyAlignment="1">
      <alignment horizontal="right"/>
    </xf>
    <xf numFmtId="0" fontId="9" fillId="0" borderId="0" xfId="8" applyFont="1" applyBorder="1" applyAlignment="1">
      <alignment vertical="center"/>
    </xf>
    <xf numFmtId="165" fontId="9" fillId="0" borderId="0" xfId="8" applyNumberFormat="1" applyFont="1" applyFill="1" applyBorder="1" applyAlignment="1">
      <alignment horizontal="right"/>
    </xf>
    <xf numFmtId="0" fontId="7" fillId="3" borderId="0" xfId="8" applyFont="1" applyFill="1" applyBorder="1" applyAlignment="1"/>
    <xf numFmtId="0" fontId="9" fillId="0" borderId="5" xfId="8" applyFont="1" applyBorder="1" applyAlignment="1">
      <alignment vertical="center"/>
    </xf>
    <xf numFmtId="165" fontId="9" fillId="2" borderId="5" xfId="8" applyNumberFormat="1" applyFont="1" applyFill="1" applyBorder="1" applyAlignment="1">
      <alignment horizontal="right"/>
    </xf>
    <xf numFmtId="0" fontId="10" fillId="2" borderId="0" xfId="8" applyFont="1" applyFill="1"/>
    <xf numFmtId="167" fontId="10" fillId="2" borderId="0" xfId="8" applyNumberFormat="1" applyFill="1"/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0" xfId="8" applyFont="1" applyFill="1"/>
    <xf numFmtId="0" fontId="9" fillId="2" borderId="0" xfId="8" applyFont="1" applyFill="1"/>
    <xf numFmtId="167" fontId="9" fillId="2" borderId="0" xfId="8" applyNumberFormat="1" applyFont="1" applyFill="1"/>
    <xf numFmtId="0" fontId="10" fillId="2" borderId="0" xfId="8" applyFill="1" applyAlignment="1">
      <alignment horizontal="centerContinuous"/>
    </xf>
    <xf numFmtId="5" fontId="13" fillId="2" borderId="0" xfId="8" applyNumberFormat="1" applyFont="1" applyFill="1" applyAlignment="1">
      <alignment horizontal="centerContinuous"/>
    </xf>
    <xf numFmtId="167" fontId="10" fillId="2" borderId="0" xfId="8" applyNumberFormat="1" applyFill="1" applyAlignment="1">
      <alignment horizontal="centerContinuous"/>
    </xf>
    <xf numFmtId="0" fontId="15" fillId="2" borderId="0" xfId="8" applyFont="1" applyFill="1" applyAlignment="1">
      <alignment horizontal="centerContinuous"/>
    </xf>
    <xf numFmtId="0" fontId="10" fillId="2" borderId="0" xfId="8" applyFont="1" applyFill="1" applyAlignment="1">
      <alignment horizontal="centerContinuous"/>
    </xf>
    <xf numFmtId="0" fontId="11" fillId="2" borderId="0" xfId="8" applyFont="1" applyFill="1" applyAlignment="1">
      <alignment horizontal="center"/>
    </xf>
    <xf numFmtId="167" fontId="10" fillId="2" borderId="0" xfId="8" applyNumberFormat="1" applyFont="1" applyFill="1" applyAlignment="1">
      <alignment horizontal="centerContinuous"/>
    </xf>
    <xf numFmtId="0" fontId="9" fillId="0" borderId="0" xfId="8" quotePrefix="1" applyFont="1" applyBorder="1" applyAlignment="1">
      <alignment horizontal="left" vertical="center"/>
    </xf>
    <xf numFmtId="0" fontId="14" fillId="2" borderId="0" xfId="8" applyFont="1" applyFill="1" applyAlignment="1">
      <alignment horizontal="centerContinuous"/>
    </xf>
    <xf numFmtId="5" fontId="13" fillId="0" borderId="0" xfId="8" applyNumberFormat="1" applyFont="1" applyAlignment="1">
      <alignment horizontal="centerContinuous"/>
    </xf>
    <xf numFmtId="0" fontId="13" fillId="0" borderId="0" xfId="8" applyFont="1" applyAlignment="1">
      <alignment horizontal="centerContinuous"/>
    </xf>
    <xf numFmtId="0" fontId="12" fillId="2" borderId="0" xfId="8" applyFont="1" applyFill="1" applyAlignment="1">
      <alignment horizontal="centerContinuous"/>
    </xf>
    <xf numFmtId="5" fontId="11" fillId="2" borderId="0" xfId="8" applyNumberFormat="1" applyFont="1" applyFill="1" applyAlignment="1">
      <alignment horizontal="centerContinuous"/>
    </xf>
    <xf numFmtId="5" fontId="9" fillId="2" borderId="0" xfId="0" applyNumberFormat="1" applyFont="1" applyFill="1"/>
    <xf numFmtId="10" fontId="16" fillId="2" borderId="0" xfId="0" applyNumberFormat="1" applyFont="1" applyFill="1"/>
    <xf numFmtId="10" fontId="9" fillId="2" borderId="0" xfId="0" quotePrefix="1" applyNumberFormat="1" applyFont="1" applyFill="1" applyAlignment="1">
      <alignment horizontal="left"/>
    </xf>
    <xf numFmtId="10" fontId="9" fillId="2" borderId="0" xfId="0" applyNumberFormat="1" applyFont="1" applyFill="1"/>
    <xf numFmtId="0" fontId="9" fillId="2" borderId="0" xfId="8" applyFont="1" applyFill="1" applyAlignment="1">
      <alignment horizontal="centerContinuous"/>
    </xf>
    <xf numFmtId="10" fontId="9" fillId="2" borderId="0" xfId="9" applyFont="1"/>
    <xf numFmtId="10" fontId="9" fillId="2" borderId="0" xfId="8" applyNumberFormat="1" applyFont="1" applyFill="1"/>
    <xf numFmtId="10" fontId="9" fillId="2" borderId="0" xfId="9" applyFont="1" applyAlignment="1">
      <alignment horizontal="center"/>
    </xf>
    <xf numFmtId="0" fontId="7" fillId="3" borderId="0" xfId="8" quotePrefix="1" applyFont="1" applyFill="1" applyBorder="1" applyAlignment="1">
      <alignment horizontal="left"/>
    </xf>
    <xf numFmtId="165" fontId="9" fillId="0" borderId="0" xfId="8" applyNumberFormat="1" applyFont="1" applyBorder="1" applyAlignment="1">
      <alignment horizontal="right"/>
    </xf>
    <xf numFmtId="165" fontId="5" fillId="2" borderId="0" xfId="0" applyNumberFormat="1" applyFont="1" applyFill="1" applyAlignment="1">
      <alignment horizontal="centerContinuous"/>
    </xf>
    <xf numFmtId="165" fontId="9" fillId="0" borderId="0" xfId="8" applyNumberFormat="1" applyFont="1" applyBorder="1" applyAlignment="1" applyProtection="1">
      <alignment horizontal="right"/>
      <protection locked="0"/>
    </xf>
    <xf numFmtId="165" fontId="7" fillId="3" borderId="0" xfId="8" applyNumberFormat="1" applyFont="1" applyFill="1" applyBorder="1" applyAlignment="1">
      <alignment horizontal="right"/>
    </xf>
    <xf numFmtId="165" fontId="9" fillId="0" borderId="5" xfId="8" applyNumberFormat="1" applyFont="1" applyBorder="1" applyAlignment="1">
      <alignment horizontal="right"/>
    </xf>
    <xf numFmtId="165" fontId="7" fillId="3" borderId="5" xfId="2" applyNumberFormat="1" applyFont="1" applyFill="1" applyBorder="1" applyAlignment="1">
      <alignment horizontal="right"/>
    </xf>
    <xf numFmtId="165" fontId="10" fillId="2" borderId="0" xfId="8" applyNumberFormat="1" applyFill="1"/>
    <xf numFmtId="165" fontId="7" fillId="3" borderId="0" xfId="2" applyNumberFormat="1" applyFont="1" applyFill="1" applyBorder="1"/>
    <xf numFmtId="0" fontId="9" fillId="0" borderId="0" xfId="8" quotePrefix="1" applyFont="1" applyFill="1" applyBorder="1" applyAlignment="1">
      <alignment horizontal="left" vertical="center"/>
    </xf>
    <xf numFmtId="10" fontId="9" fillId="2" borderId="4" xfId="9" applyFont="1" applyBorder="1"/>
    <xf numFmtId="10" fontId="5" fillId="2" borderId="6" xfId="0" applyNumberFormat="1" applyFont="1" applyFill="1" applyBorder="1"/>
    <xf numFmtId="10" fontId="5" fillId="2" borderId="7" xfId="0" applyNumberFormat="1" applyFont="1" applyFill="1" applyBorder="1"/>
    <xf numFmtId="10" fontId="0" fillId="2" borderId="0" xfId="0" applyNumberFormat="1" applyFill="1" applyAlignment="1">
      <alignment horizontal="centerContinuous"/>
    </xf>
    <xf numFmtId="5" fontId="5" fillId="2" borderId="8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8" xfId="0" applyFont="1" applyFill="1" applyBorder="1"/>
    <xf numFmtId="5" fontId="5" fillId="2" borderId="8" xfId="0" applyNumberFormat="1" applyFont="1" applyFill="1" applyBorder="1"/>
    <xf numFmtId="5" fontId="5" fillId="2" borderId="6" xfId="0" applyNumberFormat="1" applyFont="1" applyFill="1" applyBorder="1"/>
    <xf numFmtId="5" fontId="5" fillId="2" borderId="2" xfId="0" applyNumberFormat="1" applyFont="1" applyFill="1" applyBorder="1" applyAlignment="1">
      <alignment horizontal="right"/>
    </xf>
    <xf numFmtId="5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/>
    <xf numFmtId="0" fontId="5" fillId="2" borderId="0" xfId="0" applyFont="1" applyFill="1"/>
    <xf numFmtId="7" fontId="5" fillId="2" borderId="0" xfId="0" applyNumberFormat="1" applyFont="1" applyFill="1"/>
    <xf numFmtId="0" fontId="9" fillId="2" borderId="0" xfId="0" applyNumberFormat="1" applyFont="1" applyFill="1"/>
    <xf numFmtId="5" fontId="5" fillId="2" borderId="10" xfId="0" applyNumberFormat="1" applyFont="1" applyFill="1" applyBorder="1"/>
    <xf numFmtId="5" fontId="5" fillId="2" borderId="11" xfId="0" applyNumberFormat="1" applyFont="1" applyFill="1" applyBorder="1"/>
    <xf numFmtId="0" fontId="9" fillId="0" borderId="0" xfId="0" applyFont="1"/>
    <xf numFmtId="0" fontId="5" fillId="2" borderId="8" xfId="0" applyNumberFormat="1" applyFont="1" applyFill="1" applyBorder="1"/>
    <xf numFmtId="39" fontId="5" fillId="2" borderId="8" xfId="0" applyNumberFormat="1" applyFont="1" applyFill="1" applyBorder="1"/>
    <xf numFmtId="10" fontId="5" fillId="2" borderId="8" xfId="0" applyNumberFormat="1" applyFont="1" applyFill="1" applyBorder="1"/>
    <xf numFmtId="10" fontId="5" fillId="2" borderId="10" xfId="0" applyNumberFormat="1" applyFont="1" applyFill="1" applyBorder="1"/>
    <xf numFmtId="10" fontId="5" fillId="2" borderId="11" xfId="0" applyNumberFormat="1" applyFont="1" applyFill="1" applyBorder="1"/>
    <xf numFmtId="10" fontId="5" fillId="2" borderId="12" xfId="0" applyNumberFormat="1" applyFont="1" applyFill="1" applyBorder="1"/>
    <xf numFmtId="10" fontId="5" fillId="2" borderId="13" xfId="0" applyNumberFormat="1" applyFont="1" applyFill="1" applyBorder="1"/>
    <xf numFmtId="10" fontId="5" fillId="2" borderId="14" xfId="0" applyNumberFormat="1" applyFont="1" applyFill="1" applyBorder="1"/>
    <xf numFmtId="10" fontId="5" fillId="2" borderId="15" xfId="0" applyNumberFormat="1" applyFont="1" applyFill="1" applyBorder="1"/>
    <xf numFmtId="10" fontId="5" fillId="2" borderId="5" xfId="0" applyNumberFormat="1" applyFont="1" applyFill="1" applyBorder="1"/>
    <xf numFmtId="0" fontId="5" fillId="2" borderId="8" xfId="0" applyNumberFormat="1" applyFont="1" applyFill="1" applyBorder="1" applyAlignment="1">
      <alignment horizontal="right"/>
    </xf>
    <xf numFmtId="2" fontId="5" fillId="2" borderId="0" xfId="0" quotePrefix="1" applyNumberFormat="1" applyFont="1" applyFill="1" applyAlignment="1">
      <alignment horizontal="right" wrapText="1"/>
    </xf>
    <xf numFmtId="5" fontId="5" fillId="2" borderId="16" xfId="0" applyNumberFormat="1" applyFont="1" applyFill="1" applyBorder="1"/>
    <xf numFmtId="169" fontId="5" fillId="2" borderId="0" xfId="0" applyNumberFormat="1" applyFont="1" applyFill="1"/>
    <xf numFmtId="10" fontId="5" fillId="2" borderId="16" xfId="0" applyNumberFormat="1" applyFont="1" applyFill="1" applyBorder="1"/>
    <xf numFmtId="5" fontId="11" fillId="2" borderId="0" xfId="0" applyNumberFormat="1" applyFont="1" applyFill="1" applyBorder="1"/>
    <xf numFmtId="5" fontId="12" fillId="2" borderId="0" xfId="0" applyNumberFormat="1" applyFont="1" applyFill="1" applyBorder="1" applyAlignment="1">
      <alignment horizontal="centerContinuous"/>
    </xf>
    <xf numFmtId="5" fontId="5" fillId="2" borderId="0" xfId="0" applyNumberFormat="1" applyFont="1" applyFill="1" applyBorder="1" applyAlignment="1">
      <alignment horizontal="centerContinuous"/>
    </xf>
    <xf numFmtId="5" fontId="11" fillId="2" borderId="0" xfId="0" applyNumberFormat="1" applyFont="1" applyFill="1" applyBorder="1" applyAlignment="1">
      <alignment horizontal="centerContinuous"/>
    </xf>
    <xf numFmtId="10" fontId="11" fillId="2" borderId="0" xfId="0" applyNumberFormat="1" applyFont="1" applyFill="1" applyBorder="1"/>
    <xf numFmtId="10" fontId="11" fillId="2" borderId="0" xfId="0" applyNumberFormat="1" applyFont="1" applyFill="1" applyBorder="1" applyAlignment="1">
      <alignment horizontal="centerContinuous"/>
    </xf>
    <xf numFmtId="39" fontId="5" fillId="2" borderId="0" xfId="0" applyNumberFormat="1" applyFont="1" applyFill="1" applyBorder="1"/>
    <xf numFmtId="5" fontId="9" fillId="2" borderId="0" xfId="0" applyNumberFormat="1" applyFont="1" applyFill="1" applyBorder="1"/>
    <xf numFmtId="0" fontId="9" fillId="2" borderId="0" xfId="0" applyNumberFormat="1" applyFont="1" applyFill="1" applyAlignment="1">
      <alignment horizontal="right"/>
    </xf>
    <xf numFmtId="5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5" fontId="9" fillId="2" borderId="0" xfId="0" quotePrefix="1" applyNumberFormat="1" applyFont="1" applyFill="1" applyAlignment="1">
      <alignment horizontal="left" wrapText="1"/>
    </xf>
    <xf numFmtId="1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vertical="center"/>
    </xf>
    <xf numFmtId="10" fontId="9" fillId="2" borderId="0" xfId="0" applyNumberFormat="1" applyFont="1" applyFill="1" applyAlignment="1">
      <alignment vertical="center"/>
    </xf>
    <xf numFmtId="5" fontId="9" fillId="2" borderId="0" xfId="0" quotePrefix="1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37" fontId="9" fillId="2" borderId="0" xfId="0" applyNumberFormat="1" applyFont="1" applyFill="1" applyAlignment="1">
      <alignment vertical="center"/>
    </xf>
    <xf numFmtId="5" fontId="9" fillId="2" borderId="0" xfId="0" applyNumberFormat="1" applyFont="1" applyFill="1" applyAlignment="1">
      <alignment vertical="center" wrapText="1"/>
    </xf>
    <xf numFmtId="5" fontId="9" fillId="2" borderId="0" xfId="0" quotePrefix="1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10" fontId="9" fillId="2" borderId="0" xfId="0" applyNumberFormat="1" applyFont="1" applyFill="1" applyAlignment="1">
      <alignment vertical="center" wrapText="1"/>
    </xf>
    <xf numFmtId="5" fontId="0" fillId="2" borderId="6" xfId="0" applyNumberFormat="1" applyFill="1" applyBorder="1"/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10" fontId="5" fillId="2" borderId="17" xfId="0" applyNumberFormat="1" applyFont="1" applyFill="1" applyBorder="1"/>
    <xf numFmtId="22" fontId="11" fillId="2" borderId="0" xfId="0" applyNumberFormat="1" applyFont="1" applyFill="1" applyBorder="1" applyAlignment="1">
      <alignment horizontal="centerContinuous"/>
    </xf>
    <xf numFmtId="22" fontId="11" fillId="2" borderId="0" xfId="0" applyNumberFormat="1" applyFont="1" applyFill="1" applyAlignment="1">
      <alignment horizontal="centerContinuous"/>
    </xf>
    <xf numFmtId="5" fontId="9" fillId="0" borderId="0" xfId="0" applyNumberFormat="1" applyFont="1" applyFill="1"/>
    <xf numFmtId="10" fontId="9" fillId="0" borderId="0" xfId="0" applyNumberFormat="1" applyFont="1" applyFill="1"/>
    <xf numFmtId="5" fontId="3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/>
    </xf>
    <xf numFmtId="5" fontId="5" fillId="0" borderId="0" xfId="0" applyNumberFormat="1" applyFont="1" applyFill="1"/>
    <xf numFmtId="5" fontId="5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5" fontId="5" fillId="0" borderId="0" xfId="0" applyNumberFormat="1" applyFont="1" applyFill="1" applyBorder="1"/>
    <xf numFmtId="5" fontId="5" fillId="0" borderId="2" xfId="0" applyNumberFormat="1" applyFont="1" applyFill="1" applyBorder="1"/>
    <xf numFmtId="5" fontId="5" fillId="0" borderId="16" xfId="0" applyNumberFormat="1" applyFont="1" applyFill="1" applyBorder="1"/>
    <xf numFmtId="168" fontId="11" fillId="0" borderId="0" xfId="0" applyNumberFormat="1" applyFont="1" applyFill="1" applyBorder="1"/>
    <xf numFmtId="5" fontId="5" fillId="0" borderId="0" xfId="0" applyNumberFormat="1" applyFont="1" applyFill="1" applyAlignment="1">
      <alignment horizontal="left"/>
    </xf>
    <xf numFmtId="10" fontId="5" fillId="0" borderId="6" xfId="0" applyNumberFormat="1" applyFont="1" applyFill="1" applyBorder="1"/>
    <xf numFmtId="166" fontId="7" fillId="0" borderId="16" xfId="2" applyNumberFormat="1" applyFont="1" applyFill="1" applyBorder="1"/>
    <xf numFmtId="166" fontId="5" fillId="0" borderId="2" xfId="0" applyNumberFormat="1" applyFont="1" applyFill="1" applyBorder="1"/>
    <xf numFmtId="166" fontId="5" fillId="0" borderId="16" xfId="0" applyNumberFormat="1" applyFont="1" applyFill="1" applyBorder="1"/>
    <xf numFmtId="166" fontId="5" fillId="0" borderId="0" xfId="0" applyNumberFormat="1" applyFont="1" applyFill="1"/>
    <xf numFmtId="0" fontId="7" fillId="0" borderId="0" xfId="0" applyFont="1" applyFill="1"/>
    <xf numFmtId="166" fontId="5" fillId="0" borderId="0" xfId="0" applyNumberFormat="1" applyFont="1" applyFill="1" applyAlignment="1">
      <alignment horizontal="right"/>
    </xf>
    <xf numFmtId="166" fontId="5" fillId="0" borderId="5" xfId="0" applyNumberFormat="1" applyFont="1" applyFill="1" applyBorder="1"/>
    <xf numFmtId="166" fontId="5" fillId="0" borderId="0" xfId="0" applyNumberFormat="1" applyFont="1" applyFill="1" applyBorder="1"/>
    <xf numFmtId="166" fontId="5" fillId="2" borderId="0" xfId="0" quotePrefix="1" applyNumberFormat="1" applyFont="1" applyFill="1" applyAlignment="1">
      <alignment horizontal="left"/>
    </xf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10" fontId="5" fillId="0" borderId="0" xfId="9" applyNumberFormat="1" applyFont="1" applyFill="1"/>
    <xf numFmtId="10" fontId="9" fillId="0" borderId="16" xfId="0" applyNumberFormat="1" applyFont="1" applyFill="1" applyBorder="1"/>
    <xf numFmtId="0" fontId="5" fillId="0" borderId="0" xfId="0" applyFont="1" applyFill="1"/>
    <xf numFmtId="0" fontId="8" fillId="0" borderId="0" xfId="0" applyFont="1" applyFill="1"/>
    <xf numFmtId="5" fontId="11" fillId="0" borderId="0" xfId="0" applyNumberFormat="1" applyFont="1" applyFill="1"/>
    <xf numFmtId="10" fontId="11" fillId="0" borderId="0" xfId="0" applyNumberFormat="1" applyFont="1" applyFill="1"/>
    <xf numFmtId="5" fontId="17" fillId="0" borderId="0" xfId="0" applyNumberFormat="1" applyFont="1" applyFill="1"/>
    <xf numFmtId="0" fontId="11" fillId="0" borderId="2" xfId="0" applyFont="1" applyFill="1" applyBorder="1"/>
    <xf numFmtId="5" fontId="11" fillId="0" borderId="0" xfId="0" applyNumberFormat="1" applyFont="1" applyFill="1" applyAlignment="1">
      <alignment horizontal="centerContinuous"/>
    </xf>
    <xf numFmtId="10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right"/>
    </xf>
    <xf numFmtId="5" fontId="11" fillId="2" borderId="0" xfId="0" applyNumberFormat="1" applyFont="1" applyFill="1"/>
    <xf numFmtId="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5" fontId="11" fillId="2" borderId="2" xfId="0" applyNumberFormat="1" applyFont="1" applyFill="1" applyBorder="1"/>
    <xf numFmtId="0" fontId="11" fillId="2" borderId="2" xfId="0" applyFont="1" applyFill="1" applyBorder="1"/>
    <xf numFmtId="10" fontId="11" fillId="2" borderId="2" xfId="0" applyNumberFormat="1" applyFont="1" applyFill="1" applyBorder="1" applyAlignment="1">
      <alignment horizontal="right"/>
    </xf>
    <xf numFmtId="5" fontId="17" fillId="2" borderId="0" xfId="0" applyNumberFormat="1" applyFont="1" applyFill="1"/>
    <xf numFmtId="10" fontId="11" fillId="2" borderId="0" xfId="0" applyNumberFormat="1" applyFont="1" applyFill="1"/>
    <xf numFmtId="10" fontId="11" fillId="2" borderId="4" xfId="0" applyNumberFormat="1" applyFont="1" applyFill="1" applyBorder="1"/>
    <xf numFmtId="10" fontId="11" fillId="2" borderId="2" xfId="0" applyNumberFormat="1" applyFont="1" applyFill="1" applyBorder="1"/>
    <xf numFmtId="10" fontId="11" fillId="2" borderId="5" xfId="0" applyNumberFormat="1" applyFont="1" applyFill="1" applyBorder="1"/>
    <xf numFmtId="10" fontId="11" fillId="2" borderId="3" xfId="0" applyNumberFormat="1" applyFont="1" applyFill="1" applyBorder="1"/>
    <xf numFmtId="10" fontId="11" fillId="2" borderId="7" xfId="0" applyNumberFormat="1" applyFont="1" applyFill="1" applyBorder="1"/>
    <xf numFmtId="5" fontId="11" fillId="0" borderId="2" xfId="0" applyNumberFormat="1" applyFont="1" applyFill="1" applyBorder="1"/>
    <xf numFmtId="5" fontId="11" fillId="0" borderId="5" xfId="0" applyNumberFormat="1" applyFont="1" applyFill="1" applyBorder="1"/>
    <xf numFmtId="5" fontId="11" fillId="0" borderId="3" xfId="0" applyNumberFormat="1" applyFont="1" applyFill="1" applyBorder="1"/>
    <xf numFmtId="5" fontId="11" fillId="0" borderId="7" xfId="0" applyNumberFormat="1" applyFont="1" applyFill="1" applyBorder="1"/>
    <xf numFmtId="5" fontId="11" fillId="0" borderId="0" xfId="0" applyNumberFormat="1" applyFont="1" applyFill="1" applyBorder="1"/>
    <xf numFmtId="5" fontId="11" fillId="0" borderId="4" xfId="0" applyNumberFormat="1" applyFont="1" applyFill="1" applyBorder="1"/>
    <xf numFmtId="10" fontId="11" fillId="0" borderId="6" xfId="0" applyNumberFormat="1" applyFont="1" applyFill="1" applyBorder="1"/>
    <xf numFmtId="10" fontId="17" fillId="0" borderId="0" xfId="0" applyNumberFormat="1" applyFont="1" applyFill="1"/>
    <xf numFmtId="10" fontId="17" fillId="2" borderId="0" xfId="0" applyNumberFormat="1" applyFont="1" applyFill="1"/>
    <xf numFmtId="5" fontId="12" fillId="2" borderId="0" xfId="0" applyNumberFormat="1" applyFont="1" applyFill="1" applyAlignment="1">
      <alignment horizontal="centerContinuous"/>
    </xf>
    <xf numFmtId="5" fontId="11" fillId="2" borderId="4" xfId="0" applyNumberFormat="1" applyFont="1" applyFill="1" applyBorder="1"/>
    <xf numFmtId="5" fontId="7" fillId="0" borderId="0" xfId="0" applyNumberFormat="1" applyFont="1" applyFill="1" applyAlignment="1">
      <alignment horizontal="left"/>
    </xf>
    <xf numFmtId="166" fontId="11" fillId="0" borderId="0" xfId="0" applyNumberFormat="1" applyFont="1" applyFill="1"/>
    <xf numFmtId="0" fontId="19" fillId="0" borderId="0" xfId="0" applyFont="1" applyFill="1"/>
    <xf numFmtId="166" fontId="11" fillId="0" borderId="0" xfId="0" applyNumberFormat="1" applyFont="1" applyFill="1" applyBorder="1"/>
    <xf numFmtId="166" fontId="11" fillId="0" borderId="3" xfId="0" applyNumberFormat="1" applyFont="1" applyFill="1" applyBorder="1"/>
    <xf numFmtId="166" fontId="11" fillId="0" borderId="7" xfId="0" applyNumberFormat="1" applyFont="1" applyFill="1" applyBorder="1"/>
    <xf numFmtId="5" fontId="17" fillId="0" borderId="0" xfId="0" quotePrefix="1" applyNumberFormat="1" applyFont="1" applyFill="1" applyAlignment="1">
      <alignment horizontal="left"/>
    </xf>
    <xf numFmtId="0" fontId="18" fillId="2" borderId="0" xfId="8" applyFont="1" applyFill="1" applyAlignment="1">
      <alignment horizontal="centerContinuous"/>
    </xf>
    <xf numFmtId="167" fontId="18" fillId="2" borderId="0" xfId="8" applyNumberFormat="1" applyFont="1" applyFill="1" applyAlignment="1">
      <alignment horizontal="centerContinuous"/>
    </xf>
    <xf numFmtId="0" fontId="11" fillId="2" borderId="0" xfId="8" applyFont="1" applyFill="1" applyAlignment="1">
      <alignment horizontal="centerContinuous"/>
    </xf>
    <xf numFmtId="10" fontId="11" fillId="2" borderId="0" xfId="0" quotePrefix="1" applyNumberFormat="1" applyFont="1" applyFill="1" applyAlignment="1">
      <alignment horizontal="right"/>
    </xf>
    <xf numFmtId="0" fontId="11" fillId="0" borderId="0" xfId="8" applyFont="1" applyBorder="1" applyAlignment="1"/>
    <xf numFmtId="16" fontId="11" fillId="2" borderId="0" xfId="0" quotePrefix="1" applyNumberFormat="1" applyFont="1" applyFill="1" applyAlignment="1">
      <alignment horizontal="left"/>
    </xf>
    <xf numFmtId="0" fontId="11" fillId="0" borderId="16" xfId="8" applyFont="1" applyFill="1" applyBorder="1" applyAlignment="1">
      <alignment horizontal="right"/>
    </xf>
    <xf numFmtId="0" fontId="11" fillId="0" borderId="0" xfId="8" applyFont="1" applyFill="1" applyBorder="1" applyAlignment="1">
      <alignment vertical="center"/>
    </xf>
    <xf numFmtId="0" fontId="11" fillId="0" borderId="5" xfId="8" applyFont="1" applyBorder="1" applyAlignment="1">
      <alignment vertical="center"/>
    </xf>
    <xf numFmtId="165" fontId="11" fillId="0" borderId="5" xfId="8" applyNumberFormat="1" applyFont="1" applyBorder="1" applyAlignment="1">
      <alignment horizontal="right"/>
    </xf>
    <xf numFmtId="165" fontId="11" fillId="2" borderId="5" xfId="8" applyNumberFormat="1" applyFont="1" applyFill="1" applyBorder="1" applyAlignment="1">
      <alignment horizontal="right"/>
    </xf>
    <xf numFmtId="165" fontId="19" fillId="3" borderId="5" xfId="8" applyNumberFormat="1" applyFont="1" applyFill="1" applyBorder="1" applyAlignment="1">
      <alignment horizontal="right"/>
    </xf>
    <xf numFmtId="0" fontId="18" fillId="2" borderId="0" xfId="8" applyFont="1" applyFill="1" applyAlignment="1">
      <alignment horizontal="center"/>
    </xf>
    <xf numFmtId="16" fontId="11" fillId="2" borderId="0" xfId="0" quotePrefix="1" applyNumberFormat="1" applyFont="1" applyFill="1" applyAlignment="1">
      <alignment horizontal="right"/>
    </xf>
    <xf numFmtId="0" fontId="18" fillId="2" borderId="0" xfId="8" applyFont="1" applyFill="1"/>
    <xf numFmtId="10" fontId="11" fillId="2" borderId="2" xfId="0" quotePrefix="1" applyNumberFormat="1" applyFont="1" applyFill="1" applyBorder="1" applyAlignment="1">
      <alignment horizontal="right"/>
    </xf>
    <xf numFmtId="10" fontId="11" fillId="2" borderId="4" xfId="9" applyFont="1" applyBorder="1"/>
    <xf numFmtId="166" fontId="11" fillId="0" borderId="0" xfId="8" applyNumberFormat="1" applyFont="1" applyFill="1" applyBorder="1" applyAlignment="1">
      <alignment horizontal="right"/>
    </xf>
    <xf numFmtId="5" fontId="20" fillId="0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/>
    <xf numFmtId="10" fontId="5" fillId="2" borderId="0" xfId="0" applyNumberFormat="1" applyFont="1" applyFill="1" applyAlignment="1"/>
    <xf numFmtId="10" fontId="17" fillId="2" borderId="0" xfId="0" applyNumberFormat="1" applyFont="1" applyFill="1" applyAlignment="1">
      <alignment horizontal="center"/>
    </xf>
    <xf numFmtId="5" fontId="20" fillId="2" borderId="0" xfId="0" applyNumberFormat="1" applyFont="1" applyFill="1" applyAlignment="1">
      <alignment horizontal="centerContinuous"/>
    </xf>
    <xf numFmtId="10" fontId="11" fillId="2" borderId="6" xfId="0" applyNumberFormat="1" applyFont="1" applyFill="1" applyBorder="1"/>
    <xf numFmtId="0" fontId="11" fillId="2" borderId="2" xfId="0" applyFont="1" applyFill="1" applyBorder="1" applyAlignment="1">
      <alignment horizontal="right"/>
    </xf>
    <xf numFmtId="10" fontId="11" fillId="2" borderId="0" xfId="8" applyNumberFormat="1" applyFont="1" applyFill="1"/>
    <xf numFmtId="5" fontId="5" fillId="2" borderId="14" xfId="0" applyNumberFormat="1" applyFont="1" applyFill="1" applyBorder="1"/>
    <xf numFmtId="10" fontId="5" fillId="2" borderId="18" xfId="0" applyNumberFormat="1" applyFont="1" applyFill="1" applyBorder="1"/>
    <xf numFmtId="10" fontId="5" fillId="2" borderId="19" xfId="0" applyNumberFormat="1" applyFont="1" applyFill="1" applyBorder="1"/>
    <xf numFmtId="5" fontId="11" fillId="2" borderId="0" xfId="0" applyNumberFormat="1" applyFont="1" applyFill="1" applyAlignment="1">
      <alignment horizontal="centerContinuous"/>
    </xf>
    <xf numFmtId="5" fontId="9" fillId="2" borderId="2" xfId="0" applyNumberFormat="1" applyFont="1" applyFill="1" applyBorder="1"/>
    <xf numFmtId="5" fontId="9" fillId="2" borderId="4" xfId="0" applyNumberFormat="1" applyFont="1" applyFill="1" applyBorder="1"/>
    <xf numFmtId="0" fontId="9" fillId="2" borderId="0" xfId="0" applyFont="1" applyFill="1"/>
    <xf numFmtId="0" fontId="9" fillId="2" borderId="2" xfId="0" applyFont="1" applyFill="1" applyBorder="1"/>
    <xf numFmtId="5" fontId="11" fillId="2" borderId="10" xfId="0" applyNumberFormat="1" applyFont="1" applyFill="1" applyBorder="1"/>
    <xf numFmtId="5" fontId="11" fillId="2" borderId="8" xfId="0" applyNumberFormat="1" applyFont="1" applyFill="1" applyBorder="1"/>
    <xf numFmtId="5" fontId="11" fillId="2" borderId="17" xfId="0" applyNumberFormat="1" applyFont="1" applyFill="1" applyBorder="1"/>
    <xf numFmtId="5" fontId="11" fillId="2" borderId="3" xfId="0" applyNumberFormat="1" applyFont="1" applyFill="1" applyBorder="1"/>
    <xf numFmtId="5" fontId="9" fillId="2" borderId="0" xfId="0" applyNumberFormat="1" applyFont="1" applyFill="1" applyAlignment="1">
      <alignment horizontal="left" vertical="center" wrapText="1"/>
    </xf>
    <xf numFmtId="10" fontId="11" fillId="2" borderId="10" xfId="0" applyNumberFormat="1" applyFont="1" applyFill="1" applyBorder="1"/>
    <xf numFmtId="10" fontId="11" fillId="2" borderId="12" xfId="0" applyNumberFormat="1" applyFont="1" applyFill="1" applyBorder="1"/>
    <xf numFmtId="10" fontId="11" fillId="2" borderId="8" xfId="0" applyNumberFormat="1" applyFont="1" applyFill="1" applyBorder="1"/>
    <xf numFmtId="10" fontId="11" fillId="2" borderId="14" xfId="0" applyNumberFormat="1" applyFont="1" applyFill="1" applyBorder="1"/>
    <xf numFmtId="5" fontId="11" fillId="2" borderId="14" xfId="0" applyNumberFormat="1" applyFont="1" applyFill="1" applyBorder="1"/>
    <xf numFmtId="170" fontId="5" fillId="0" borderId="0" xfId="0" applyNumberFormat="1" applyFont="1" applyFill="1"/>
    <xf numFmtId="0" fontId="21" fillId="2" borderId="0" xfId="8" applyFont="1" applyFill="1" applyBorder="1"/>
    <xf numFmtId="10" fontId="22" fillId="2" borderId="0" xfId="0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left"/>
    </xf>
    <xf numFmtId="10" fontId="9" fillId="2" borderId="0" xfId="0" applyNumberFormat="1" applyFont="1" applyFill="1" applyAlignment="1">
      <alignment horizontal="left"/>
    </xf>
    <xf numFmtId="10" fontId="9" fillId="0" borderId="0" xfId="0" applyNumberFormat="1" applyFont="1" applyFill="1" applyBorder="1"/>
    <xf numFmtId="10" fontId="11" fillId="2" borderId="0" xfId="0" applyNumberFormat="1" applyFont="1" applyFill="1" applyBorder="1" applyAlignment="1">
      <alignment horizontal="right"/>
    </xf>
    <xf numFmtId="165" fontId="11" fillId="0" borderId="0" xfId="8" applyNumberFormat="1" applyFont="1" applyBorder="1" applyAlignment="1">
      <alignment horizontal="right"/>
    </xf>
    <xf numFmtId="0" fontId="5" fillId="0" borderId="0" xfId="8" quotePrefix="1" applyFont="1" applyBorder="1" applyAlignment="1">
      <alignment horizontal="left" vertical="center"/>
    </xf>
    <xf numFmtId="5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5" fontId="5" fillId="2" borderId="0" xfId="0" applyNumberFormat="1" applyFont="1" applyFill="1" applyAlignment="1">
      <alignment vertical="center" wrapText="1"/>
    </xf>
    <xf numFmtId="5" fontId="5" fillId="2" borderId="0" xfId="0" applyNumberFormat="1" applyFont="1" applyFill="1" applyAlignment="1">
      <alignment horizontal="left" wrapText="1"/>
    </xf>
    <xf numFmtId="5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10" fontId="9" fillId="2" borderId="0" xfId="8" applyNumberFormat="1" applyFont="1" applyFill="1" applyBorder="1" applyAlignment="1">
      <alignment horizontal="right"/>
    </xf>
    <xf numFmtId="10" fontId="10" fillId="2" borderId="0" xfId="8" applyNumberFormat="1" applyFill="1"/>
    <xf numFmtId="0" fontId="5" fillId="0" borderId="0" xfId="8" applyFont="1" applyBorder="1" applyAlignment="1">
      <alignment vertical="center"/>
    </xf>
    <xf numFmtId="5" fontId="5" fillId="0" borderId="5" xfId="0" applyNumberFormat="1" applyFont="1" applyFill="1" applyBorder="1"/>
    <xf numFmtId="5" fontId="5" fillId="0" borderId="0" xfId="0" applyNumberFormat="1" applyFont="1" applyFill="1" applyBorder="1" applyProtection="1"/>
    <xf numFmtId="0" fontId="5" fillId="2" borderId="0" xfId="0" applyNumberFormat="1" applyFont="1" applyFill="1"/>
    <xf numFmtId="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horizontal="center" wrapText="1"/>
    </xf>
    <xf numFmtId="5" fontId="0" fillId="2" borderId="0" xfId="0" applyNumberFormat="1" applyFill="1" applyAlignment="1">
      <alignment wrapText="1"/>
    </xf>
    <xf numFmtId="0" fontId="5" fillId="2" borderId="0" xfId="0" applyNumberFormat="1" applyFont="1" applyFill="1" applyAlignment="1">
      <alignment horizontal="left" wrapText="1"/>
    </xf>
    <xf numFmtId="5" fontId="5" fillId="2" borderId="0" xfId="0" quotePrefix="1" applyNumberFormat="1" applyFont="1" applyFill="1" applyAlignment="1">
      <alignment horizontal="left" wrapText="1"/>
    </xf>
    <xf numFmtId="10" fontId="5" fillId="2" borderId="0" xfId="8" applyNumberFormat="1" applyFont="1" applyFill="1"/>
    <xf numFmtId="5" fontId="11" fillId="2" borderId="20" xfId="0" applyNumberFormat="1" applyFont="1" applyFill="1" applyBorder="1"/>
    <xf numFmtId="5" fontId="11" fillId="2" borderId="21" xfId="0" applyNumberFormat="1" applyFont="1" applyFill="1" applyBorder="1"/>
    <xf numFmtId="5" fontId="11" fillId="2" borderId="12" xfId="0" applyNumberFormat="1" applyFont="1" applyFill="1" applyBorder="1"/>
    <xf numFmtId="166" fontId="5" fillId="2" borderId="0" xfId="0" quotePrefix="1" applyNumberFormat="1" applyFont="1" applyFill="1" applyAlignment="1">
      <alignment horizontal="right" vertical="center" wrapText="1"/>
    </xf>
    <xf numFmtId="6" fontId="5" fillId="2" borderId="0" xfId="0" applyNumberFormat="1" applyFont="1" applyFill="1"/>
    <xf numFmtId="0" fontId="5" fillId="2" borderId="0" xfId="0" applyNumberFormat="1" applyFont="1" applyFill="1" applyAlignment="1">
      <alignment horizontal="left" vertical="center" wrapText="1"/>
    </xf>
    <xf numFmtId="0" fontId="11" fillId="0" borderId="2" xfId="0" applyNumberFormat="1" applyFont="1" applyFill="1" applyBorder="1"/>
    <xf numFmtId="0" fontId="11" fillId="2" borderId="2" xfId="0" applyNumberFormat="1" applyFont="1" applyFill="1" applyBorder="1" applyAlignment="1">
      <alignment horizontal="right"/>
    </xf>
    <xf numFmtId="0" fontId="11" fillId="2" borderId="2" xfId="0" applyNumberFormat="1" applyFont="1" applyFill="1" applyBorder="1"/>
    <xf numFmtId="0" fontId="11" fillId="0" borderId="16" xfId="8" applyNumberFormat="1" applyFont="1" applyFill="1" applyBorder="1" applyAlignment="1">
      <alignment horizontal="right"/>
    </xf>
    <xf numFmtId="10" fontId="11" fillId="0" borderId="22" xfId="0" applyNumberFormat="1" applyFont="1" applyFill="1" applyBorder="1"/>
    <xf numFmtId="10" fontId="5" fillId="0" borderId="23" xfId="0" applyNumberFormat="1" applyFont="1" applyFill="1" applyBorder="1"/>
    <xf numFmtId="10" fontId="5" fillId="0" borderId="24" xfId="0" applyNumberFormat="1" applyFont="1" applyFill="1" applyBorder="1"/>
    <xf numFmtId="10" fontId="5" fillId="0" borderId="22" xfId="0" applyNumberFormat="1" applyFont="1" applyFill="1" applyBorder="1"/>
    <xf numFmtId="171" fontId="5" fillId="0" borderId="0" xfId="0" applyNumberFormat="1" applyFont="1" applyFill="1"/>
    <xf numFmtId="10" fontId="11" fillId="2" borderId="22" xfId="0" applyNumberFormat="1" applyFont="1" applyFill="1" applyBorder="1"/>
    <xf numFmtId="10" fontId="5" fillId="2" borderId="22" xfId="0" applyNumberFormat="1" applyFont="1" applyFill="1" applyBorder="1"/>
    <xf numFmtId="10" fontId="11" fillId="2" borderId="22" xfId="8" applyNumberFormat="1" applyFont="1" applyFill="1" applyBorder="1"/>
    <xf numFmtId="10" fontId="9" fillId="2" borderId="22" xfId="8" applyNumberFormat="1" applyFont="1" applyFill="1" applyBorder="1"/>
    <xf numFmtId="38" fontId="10" fillId="2" borderId="0" xfId="8" applyNumberFormat="1" applyFill="1"/>
    <xf numFmtId="38" fontId="10" fillId="2" borderId="0" xfId="8" applyNumberFormat="1" applyFill="1" applyAlignment="1">
      <alignment horizontal="centerContinuous"/>
    </xf>
    <xf numFmtId="38" fontId="10" fillId="2" borderId="0" xfId="8" applyNumberFormat="1" applyFont="1" applyFill="1" applyAlignment="1">
      <alignment horizontal="centerContinuous"/>
    </xf>
    <xf numFmtId="38" fontId="11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left"/>
    </xf>
    <xf numFmtId="38" fontId="11" fillId="0" borderId="0" xfId="8" applyNumberFormat="1" applyFont="1" applyFill="1" applyBorder="1" applyAlignment="1">
      <alignment horizontal="right"/>
    </xf>
    <xf numFmtId="38" fontId="5" fillId="2" borderId="0" xfId="0" applyNumberFormat="1" applyFont="1" applyFill="1" applyAlignment="1">
      <alignment horizontal="centerContinuous"/>
    </xf>
    <xf numFmtId="38" fontId="14" fillId="2" borderId="0" xfId="8" applyNumberFormat="1" applyFont="1" applyFill="1" applyAlignment="1">
      <alignment horizontal="centerContinuous"/>
    </xf>
    <xf numFmtId="38" fontId="9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right"/>
    </xf>
    <xf numFmtId="38" fontId="11" fillId="2" borderId="0" xfId="8" applyNumberFormat="1" applyFont="1" applyFill="1" applyBorder="1" applyAlignment="1">
      <alignment horizontal="right"/>
    </xf>
    <xf numFmtId="38" fontId="9" fillId="2" borderId="0" xfId="8" applyNumberFormat="1" applyFont="1" applyFill="1"/>
    <xf numFmtId="38" fontId="9" fillId="2" borderId="0" xfId="9" applyNumberFormat="1" applyFont="1"/>
    <xf numFmtId="38" fontId="9" fillId="2" borderId="4" xfId="9" applyNumberFormat="1" applyFont="1" applyBorder="1"/>
    <xf numFmtId="6" fontId="11" fillId="0" borderId="0" xfId="8" applyNumberFormat="1" applyFont="1" applyBorder="1" applyAlignment="1">
      <alignment horizontal="right"/>
    </xf>
    <xf numFmtId="6" fontId="9" fillId="0" borderId="0" xfId="8" applyNumberFormat="1" applyFont="1" applyFill="1" applyBorder="1" applyAlignment="1">
      <alignment horizontal="right"/>
    </xf>
    <xf numFmtId="6" fontId="9" fillId="2" borderId="0" xfId="8" applyNumberFormat="1" applyFont="1" applyFill="1" applyBorder="1" applyAlignment="1">
      <alignment horizontal="right"/>
    </xf>
    <xf numFmtId="6" fontId="11" fillId="0" borderId="5" xfId="8" applyNumberFormat="1" applyFont="1" applyBorder="1" applyAlignment="1">
      <alignment horizontal="right"/>
    </xf>
    <xf numFmtId="6" fontId="11" fillId="2" borderId="5" xfId="8" applyNumberFormat="1" applyFont="1" applyFill="1" applyBorder="1" applyAlignment="1">
      <alignment horizontal="right"/>
    </xf>
    <xf numFmtId="6" fontId="9" fillId="2" borderId="5" xfId="8" applyNumberFormat="1" applyFont="1" applyFill="1" applyBorder="1" applyAlignment="1">
      <alignment horizontal="right"/>
    </xf>
    <xf numFmtId="6" fontId="10" fillId="2" borderId="0" xfId="8" applyNumberFormat="1" applyFill="1"/>
    <xf numFmtId="6" fontId="11" fillId="0" borderId="0" xfId="8" applyNumberFormat="1" applyFont="1" applyFill="1" applyBorder="1" applyAlignment="1">
      <alignment horizontal="right"/>
    </xf>
    <xf numFmtId="10" fontId="9" fillId="2" borderId="0" xfId="9" applyNumberFormat="1" applyFont="1"/>
    <xf numFmtId="10" fontId="9" fillId="2" borderId="0" xfId="9" applyNumberFormat="1" applyFont="1" applyAlignment="1">
      <alignment horizontal="center"/>
    </xf>
    <xf numFmtId="10" fontId="11" fillId="2" borderId="4" xfId="9" applyNumberFormat="1" applyFont="1" applyBorder="1"/>
    <xf numFmtId="10" fontId="9" fillId="2" borderId="4" xfId="9" applyNumberFormat="1" applyFont="1" applyBorder="1"/>
    <xf numFmtId="10" fontId="11" fillId="2" borderId="24" xfId="8" applyNumberFormat="1" applyFont="1" applyFill="1" applyBorder="1"/>
    <xf numFmtId="10" fontId="5" fillId="2" borderId="24" xfId="8" applyNumberFormat="1" applyFont="1" applyFill="1" applyBorder="1"/>
    <xf numFmtId="172" fontId="9" fillId="2" borderId="0" xfId="0" applyNumberFormat="1" applyFont="1" applyFill="1"/>
    <xf numFmtId="9" fontId="5" fillId="2" borderId="0" xfId="0" applyNumberFormat="1" applyFont="1" applyFill="1"/>
    <xf numFmtId="0" fontId="5" fillId="2" borderId="0" xfId="0" applyFont="1" applyFill="1" applyAlignment="1">
      <alignment horizontal="left" wrapText="1"/>
    </xf>
    <xf numFmtId="164" fontId="9" fillId="2" borderId="0" xfId="0" applyNumberFormat="1" applyFont="1" applyFill="1" applyAlignment="1">
      <alignment horizontal="left" wrapText="1"/>
    </xf>
    <xf numFmtId="5" fontId="5" fillId="2" borderId="25" xfId="0" applyNumberFormat="1" applyFont="1" applyFill="1" applyBorder="1"/>
    <xf numFmtId="10" fontId="5" fillId="2" borderId="25" xfId="0" applyNumberFormat="1" applyFont="1" applyFill="1" applyBorder="1"/>
    <xf numFmtId="0" fontId="11" fillId="0" borderId="2" xfId="0" applyNumberFormat="1" applyFont="1" applyFill="1" applyBorder="1" applyAlignment="1">
      <alignment horizontal="right"/>
    </xf>
    <xf numFmtId="10" fontId="5" fillId="2" borderId="0" xfId="0" quotePrefix="1" applyNumberFormat="1" applyFont="1" applyFill="1" applyAlignment="1">
      <alignment horizontal="center" vertical="center"/>
    </xf>
    <xf numFmtId="10" fontId="5" fillId="2" borderId="0" xfId="0" quotePrefix="1" applyNumberFormat="1" applyFont="1" applyFill="1" applyAlignment="1">
      <alignment horizontal="centerContinuous"/>
    </xf>
    <xf numFmtId="168" fontId="5" fillId="0" borderId="0" xfId="0" applyNumberFormat="1" applyFont="1" applyFill="1" applyBorder="1"/>
    <xf numFmtId="10" fontId="5" fillId="2" borderId="23" xfId="0" applyNumberFormat="1" applyFont="1" applyFill="1" applyBorder="1"/>
    <xf numFmtId="10" fontId="5" fillId="2" borderId="0" xfId="0" quotePrefix="1" applyNumberFormat="1" applyFont="1" applyFill="1" applyAlignment="1">
      <alignment horizontal="left"/>
    </xf>
    <xf numFmtId="10" fontId="5" fillId="0" borderId="0" xfId="0" quotePrefix="1" applyNumberFormat="1" applyFont="1" applyFill="1" applyAlignment="1">
      <alignment horizontal="left"/>
    </xf>
    <xf numFmtId="168" fontId="5" fillId="0" borderId="0" xfId="0" applyNumberFormat="1" applyFont="1" applyFill="1"/>
    <xf numFmtId="10" fontId="5" fillId="0" borderId="16" xfId="0" applyNumberFormat="1" applyFont="1" applyFill="1" applyBorder="1"/>
    <xf numFmtId="10" fontId="5" fillId="0" borderId="0" xfId="0" applyNumberFormat="1" applyFont="1" applyFill="1" applyBorder="1"/>
    <xf numFmtId="5" fontId="5" fillId="0" borderId="4" xfId="0" applyNumberFormat="1" applyFont="1" applyFill="1" applyBorder="1"/>
    <xf numFmtId="10" fontId="8" fillId="0" borderId="0" xfId="0" applyNumberFormat="1" applyFont="1" applyFill="1"/>
    <xf numFmtId="5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5" fontId="5" fillId="2" borderId="0" xfId="0" applyNumberFormat="1" applyFont="1" applyFill="1" applyAlignment="1">
      <alignment horizontal="center" wrapText="1"/>
    </xf>
    <xf numFmtId="10" fontId="5" fillId="2" borderId="0" xfId="0" applyNumberFormat="1" applyFont="1" applyFill="1" applyAlignment="1">
      <alignment vertical="center"/>
    </xf>
    <xf numFmtId="5" fontId="5" fillId="4" borderId="0" xfId="0" applyNumberFormat="1" applyFont="1" applyFill="1" applyAlignment="1">
      <alignment horizontal="right"/>
    </xf>
    <xf numFmtId="0" fontId="11" fillId="0" borderId="0" xfId="8" applyFont="1" applyBorder="1" applyAlignment="1">
      <alignment horizontal="center"/>
    </xf>
  </cellXfs>
  <cellStyles count="11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8"/>
  <sheetViews>
    <sheetView showGridLines="0" tabSelected="1" zoomScale="75" zoomScaleNormal="75" workbookViewId="0">
      <pane xSplit="6" ySplit="10" topLeftCell="G88" activePane="bottomRight" state="frozen"/>
      <selection pane="topRight" activeCell="G1" sqref="G1"/>
      <selection pane="bottomLeft" activeCell="A10" sqref="A10"/>
      <selection pane="bottomRight" activeCell="S151" sqref="S151"/>
    </sheetView>
  </sheetViews>
  <sheetFormatPr defaultColWidth="13.7109375" defaultRowHeight="12.75" x14ac:dyDescent="0.2"/>
  <cols>
    <col min="1" max="1" width="32.42578125" style="2" customWidth="1"/>
    <col min="2" max="8" width="11.7109375" style="2" hidden="1" customWidth="1"/>
    <col min="9" max="9" width="12.140625" style="2" hidden="1" customWidth="1"/>
    <col min="10" max="12" width="10.7109375" style="2" hidden="1" customWidth="1"/>
    <col min="13" max="18" width="10.7109375" style="2" customWidth="1"/>
    <col min="19" max="19" width="12" style="2" customWidth="1"/>
    <col min="20" max="20" width="15.140625" style="2" customWidth="1"/>
    <col min="21" max="21" width="4.7109375" style="5" customWidth="1"/>
    <col min="22" max="22" width="33.140625" style="2" customWidth="1"/>
    <col min="23" max="27" width="13.7109375" style="2" hidden="1" customWidth="1"/>
    <col min="28" max="33" width="10.7109375" style="2" hidden="1" customWidth="1"/>
    <col min="34" max="40" width="10.7109375" style="2" customWidth="1"/>
    <col min="41" max="41" width="13.28515625" style="2" customWidth="1"/>
    <col min="42" max="45" width="12.7109375" style="2" customWidth="1"/>
    <col min="46" max="46" width="13.7109375" style="2"/>
    <col min="47" max="64" width="13.7109375" style="52"/>
  </cols>
  <sheetData>
    <row r="1" spans="1:42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92" t="s">
        <v>113</v>
      </c>
      <c r="U1" s="138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4" t="s">
        <v>113</v>
      </c>
    </row>
    <row r="2" spans="1:42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40" t="s">
        <v>114</v>
      </c>
      <c r="U2" s="138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328" t="s">
        <v>118</v>
      </c>
    </row>
    <row r="3" spans="1:42" ht="18.75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40"/>
      <c r="U3" s="138"/>
      <c r="V3" s="9" t="str">
        <f xml:space="preserve">       A4</f>
        <v>PacifiCorp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329"/>
    </row>
    <row r="4" spans="1:42" ht="18.75" x14ac:dyDescent="0.3">
      <c r="A4" s="134" t="s">
        <v>42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7"/>
      <c r="U4" s="138"/>
      <c r="V4" s="11" t="s">
        <v>39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3"/>
    </row>
    <row r="5" spans="1:42" ht="15.75" x14ac:dyDescent="0.25">
      <c r="A5" s="136" t="s">
        <v>40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7"/>
      <c r="U5" s="138"/>
      <c r="V5" s="11" t="s">
        <v>40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3"/>
    </row>
    <row r="6" spans="1:42" ht="14.25" x14ac:dyDescent="0.2">
      <c r="A6" s="221" t="s">
        <v>252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7"/>
      <c r="U6" s="138"/>
      <c r="V6" s="225" t="str">
        <f>A6</f>
        <v>Fiscal Years Ended December 31, 2011-2016; Three Months Ended March 31, 2017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</row>
    <row r="7" spans="1:42" ht="14.25" x14ac:dyDescent="0.2">
      <c r="A7" s="167" t="s">
        <v>233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2"/>
      <c r="N7" s="135"/>
      <c r="O7" s="135"/>
      <c r="P7" s="135"/>
      <c r="Q7" s="135"/>
      <c r="R7" s="135"/>
      <c r="S7" s="135"/>
      <c r="T7" s="137"/>
      <c r="U7" s="138"/>
      <c r="V7" s="225" t="str">
        <f>A7</f>
        <v xml:space="preserve">  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3"/>
    </row>
    <row r="8" spans="1:42" x14ac:dyDescent="0.2">
      <c r="A8" s="135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8" t="s">
        <v>234</v>
      </c>
      <c r="U8" s="138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3"/>
    </row>
    <row r="9" spans="1:42" x14ac:dyDescent="0.2">
      <c r="A9" s="138"/>
      <c r="B9" s="163"/>
      <c r="C9" s="163"/>
      <c r="D9" s="163"/>
      <c r="E9" s="163"/>
      <c r="F9" s="163"/>
      <c r="G9" s="163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 t="s">
        <v>250</v>
      </c>
      <c r="T9" s="168" t="s">
        <v>4</v>
      </c>
      <c r="U9" s="138"/>
      <c r="V9" s="172"/>
      <c r="W9" s="172"/>
      <c r="X9" s="172"/>
      <c r="Y9" s="172"/>
      <c r="Z9" s="172"/>
      <c r="AA9" s="172"/>
      <c r="AB9" s="172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 t="str">
        <f>S9</f>
        <v>3 Mos.</v>
      </c>
      <c r="AO9" s="174" t="str">
        <f>T8</f>
        <v>2011-2016</v>
      </c>
      <c r="AP9" s="172"/>
    </row>
    <row r="10" spans="1:42" x14ac:dyDescent="0.2">
      <c r="A10" s="166" t="s">
        <v>0</v>
      </c>
      <c r="B10" s="166">
        <v>2000</v>
      </c>
      <c r="C10" s="166">
        <f>B10+1</f>
        <v>2001</v>
      </c>
      <c r="D10" s="166">
        <f>C10+1</f>
        <v>2002</v>
      </c>
      <c r="E10" s="166">
        <f>D10+1</f>
        <v>2003</v>
      </c>
      <c r="F10" s="166">
        <f>E10+1</f>
        <v>2004</v>
      </c>
      <c r="G10" s="166">
        <f>F10+1</f>
        <v>2005</v>
      </c>
      <c r="H10" s="170">
        <v>2006</v>
      </c>
      <c r="I10" s="170">
        <v>2007</v>
      </c>
      <c r="J10" s="166">
        <f>I10+1</f>
        <v>2008</v>
      </c>
      <c r="K10" s="166">
        <f>J10+1</f>
        <v>2009</v>
      </c>
      <c r="L10" s="166">
        <f>K10+1</f>
        <v>2010</v>
      </c>
      <c r="M10" s="166">
        <f>L10+1</f>
        <v>2011</v>
      </c>
      <c r="N10" s="166">
        <v>2012</v>
      </c>
      <c r="O10" s="166">
        <v>2013</v>
      </c>
      <c r="P10" s="166">
        <v>2014</v>
      </c>
      <c r="Q10" s="280">
        <v>2015</v>
      </c>
      <c r="R10" s="280">
        <v>2016</v>
      </c>
      <c r="S10" s="327" t="s">
        <v>251</v>
      </c>
      <c r="T10" s="171" t="s">
        <v>23</v>
      </c>
      <c r="U10" s="138"/>
      <c r="V10" s="175" t="s">
        <v>0</v>
      </c>
      <c r="W10" s="176">
        <f>B10</f>
        <v>2000</v>
      </c>
      <c r="X10" s="176">
        <f t="shared" ref="X10:AC10" si="0">W10+1</f>
        <v>2001</v>
      </c>
      <c r="Y10" s="176">
        <f t="shared" si="0"/>
        <v>2002</v>
      </c>
      <c r="Z10" s="176">
        <f t="shared" si="0"/>
        <v>2003</v>
      </c>
      <c r="AA10" s="176">
        <f t="shared" si="0"/>
        <v>2004</v>
      </c>
      <c r="AB10" s="176">
        <f t="shared" si="0"/>
        <v>2005</v>
      </c>
      <c r="AC10" s="176">
        <f t="shared" si="0"/>
        <v>2006</v>
      </c>
      <c r="AD10" s="176">
        <f>I10</f>
        <v>2007</v>
      </c>
      <c r="AE10" s="176">
        <f>AD10+1</f>
        <v>2008</v>
      </c>
      <c r="AF10" s="176">
        <f>AE10+1</f>
        <v>2009</v>
      </c>
      <c r="AG10" s="227">
        <f>L10</f>
        <v>2010</v>
      </c>
      <c r="AH10" s="227">
        <f>M10</f>
        <v>2011</v>
      </c>
      <c r="AI10" s="227">
        <f>N10</f>
        <v>2012</v>
      </c>
      <c r="AJ10" s="227">
        <f>O10</f>
        <v>2013</v>
      </c>
      <c r="AK10" s="227">
        <f>P10</f>
        <v>2014</v>
      </c>
      <c r="AL10" s="281">
        <f t="shared" ref="AL10:AM10" si="1">Q10</f>
        <v>2015</v>
      </c>
      <c r="AM10" s="281">
        <f t="shared" si="1"/>
        <v>2016</v>
      </c>
      <c r="AN10" s="281" t="str">
        <f>S10</f>
        <v>Mar. 2017</v>
      </c>
      <c r="AO10" s="177" t="s">
        <v>3</v>
      </c>
      <c r="AP10" s="172"/>
    </row>
    <row r="11" spans="1:42" ht="7.5" customHeight="1" x14ac:dyDescent="0.2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7"/>
      <c r="U11" s="138"/>
      <c r="V11" s="19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3"/>
    </row>
    <row r="12" spans="1:42" x14ac:dyDescent="0.2">
      <c r="A12" s="165" t="s">
        <v>8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40"/>
      <c r="U12" s="140"/>
      <c r="V12" s="178" t="str">
        <f>A12</f>
        <v>Current Assets:</v>
      </c>
      <c r="AO12" s="5"/>
    </row>
    <row r="13" spans="1:42" x14ac:dyDescent="0.2">
      <c r="A13" s="138" t="s">
        <v>5</v>
      </c>
      <c r="B13" s="138">
        <v>154.19999999999999</v>
      </c>
      <c r="C13" s="138">
        <v>139.4</v>
      </c>
      <c r="D13" s="138">
        <v>157.9</v>
      </c>
      <c r="E13" s="138">
        <v>152.5</v>
      </c>
      <c r="F13" s="138">
        <v>58.5</v>
      </c>
      <c r="G13" s="138">
        <v>199.3</v>
      </c>
      <c r="H13" s="138">
        <v>119.6</v>
      </c>
      <c r="I13" s="138">
        <v>228</v>
      </c>
      <c r="J13" s="138">
        <v>59</v>
      </c>
      <c r="K13" s="138">
        <v>117</v>
      </c>
      <c r="L13" s="138">
        <v>31</v>
      </c>
      <c r="M13" s="138">
        <v>47</v>
      </c>
      <c r="N13" s="138">
        <v>80</v>
      </c>
      <c r="O13" s="138">
        <v>53</v>
      </c>
      <c r="P13" s="2">
        <v>23</v>
      </c>
      <c r="Q13" s="2">
        <v>12</v>
      </c>
      <c r="R13" s="2">
        <v>17</v>
      </c>
      <c r="S13" s="2">
        <v>15</v>
      </c>
      <c r="T13" s="140">
        <f>RATE(5,,-M13,R13)</f>
        <v>-0.18403747598979847</v>
      </c>
      <c r="U13" s="140"/>
      <c r="V13" s="2" t="str">
        <f t="shared" ref="V13:V78" si="2">A13</f>
        <v>Cash &amp; Equivalents</v>
      </c>
      <c r="W13" s="5">
        <f t="shared" ref="W13:AK17" si="3">B13/B$38</f>
        <v>1.2531389423897407E-2</v>
      </c>
      <c r="X13" s="5">
        <f t="shared" si="3"/>
        <v>1.2520433275251937E-2</v>
      </c>
      <c r="Y13" s="5">
        <f t="shared" si="3"/>
        <v>1.4516069721262043E-2</v>
      </c>
      <c r="Z13" s="5">
        <f t="shared" si="3"/>
        <v>1.303886865370475E-2</v>
      </c>
      <c r="AA13" s="5">
        <f t="shared" si="3"/>
        <v>5.0098055167807085E-3</v>
      </c>
      <c r="AB13" s="5">
        <f t="shared" si="3"/>
        <v>1.5917386130389993E-2</v>
      </c>
      <c r="AC13" s="5">
        <f t="shared" si="3"/>
        <v>9.3941702732635336E-3</v>
      </c>
      <c r="AD13" s="5">
        <f t="shared" si="3"/>
        <v>1.5294827933185751E-2</v>
      </c>
      <c r="AE13" s="5">
        <f t="shared" si="3"/>
        <v>3.436826469388944E-3</v>
      </c>
      <c r="AF13" s="5">
        <f t="shared" si="3"/>
        <v>6.1689338816830119E-3</v>
      </c>
      <c r="AG13" s="5">
        <f t="shared" si="3"/>
        <v>1.5387670008934777E-3</v>
      </c>
      <c r="AH13" s="5">
        <f t="shared" si="3"/>
        <v>2.2268549227707759E-3</v>
      </c>
      <c r="AI13" s="5">
        <f t="shared" si="3"/>
        <v>3.6818851251840942E-3</v>
      </c>
      <c r="AJ13" s="5">
        <f t="shared" si="3"/>
        <v>2.4470197146682672E-3</v>
      </c>
      <c r="AK13" s="5">
        <f t="shared" si="3"/>
        <v>1.035802747129025E-3</v>
      </c>
      <c r="AL13" s="5">
        <f t="shared" ref="AL13:AN17" si="4">Q13/Q$38</f>
        <v>5.3650467206151921E-4</v>
      </c>
      <c r="AM13" s="5">
        <f t="shared" si="4"/>
        <v>7.5913191033312498E-4</v>
      </c>
      <c r="AN13" s="5">
        <f t="shared" si="4"/>
        <v>6.7455142330350316E-4</v>
      </c>
      <c r="AO13" s="5">
        <f>SUM(M13:R13)/SUM(M$38:R$38)</f>
        <v>1.7648087997018081E-3</v>
      </c>
    </row>
    <row r="14" spans="1:42" x14ac:dyDescent="0.2">
      <c r="A14" s="138" t="s">
        <v>2</v>
      </c>
      <c r="B14" s="138">
        <v>561.6</v>
      </c>
      <c r="C14" s="138">
        <v>567</v>
      </c>
      <c r="D14" s="138">
        <v>249.1</v>
      </c>
      <c r="E14" s="138">
        <v>258.2</v>
      </c>
      <c r="F14" s="138">
        <v>235.1</v>
      </c>
      <c r="G14" s="138">
        <v>293</v>
      </c>
      <c r="H14" s="138">
        <v>266.8</v>
      </c>
      <c r="I14" s="138">
        <f>391+192</f>
        <v>583</v>
      </c>
      <c r="J14" s="138">
        <v>609</v>
      </c>
      <c r="K14" s="138">
        <v>619</v>
      </c>
      <c r="L14" s="138">
        <v>628</v>
      </c>
      <c r="M14" s="138">
        <v>653</v>
      </c>
      <c r="N14" s="138">
        <v>671</v>
      </c>
      <c r="O14" s="138">
        <v>700</v>
      </c>
      <c r="P14" s="2">
        <v>701</v>
      </c>
      <c r="Q14" s="2">
        <v>740</v>
      </c>
      <c r="R14" s="2">
        <v>728</v>
      </c>
      <c r="S14" s="2">
        <v>633</v>
      </c>
      <c r="T14" s="140">
        <f t="shared" ref="T14:T16" si="5">RATE(5,,-M14,R14)</f>
        <v>2.1982924574288867E-2</v>
      </c>
      <c r="U14" s="140"/>
      <c r="V14" s="2" t="str">
        <f t="shared" si="2"/>
        <v>Accounts Receivable</v>
      </c>
      <c r="W14" s="5">
        <f t="shared" si="3"/>
        <v>4.5639612843455156E-2</v>
      </c>
      <c r="X14" s="5">
        <f t="shared" si="3"/>
        <v>5.0926009089439367E-2</v>
      </c>
      <c r="Y14" s="5">
        <f t="shared" si="3"/>
        <v>2.2900272118849745E-2</v>
      </c>
      <c r="Z14" s="5">
        <f t="shared" si="3"/>
        <v>2.2076300894338138E-2</v>
      </c>
      <c r="AA14" s="5">
        <f t="shared" si="3"/>
        <v>2.0133423538378537E-2</v>
      </c>
      <c r="AB14" s="5">
        <f t="shared" si="3"/>
        <v>2.3400873739108215E-2</v>
      </c>
      <c r="AC14" s="5">
        <f t="shared" si="3"/>
        <v>2.0956225994203267E-2</v>
      </c>
      <c r="AD14" s="5">
        <f t="shared" si="3"/>
        <v>3.9109143355470583E-2</v>
      </c>
      <c r="AE14" s="5">
        <f t="shared" si="3"/>
        <v>3.5475039319624861E-2</v>
      </c>
      <c r="AF14" s="5">
        <f t="shared" si="3"/>
        <v>3.2637351049246019E-2</v>
      </c>
      <c r="AG14" s="5">
        <f t="shared" si="3"/>
        <v>3.1172441179390449E-2</v>
      </c>
      <c r="AH14" s="5">
        <f t="shared" si="3"/>
        <v>3.0939069458921633E-2</v>
      </c>
      <c r="AI14" s="5">
        <f t="shared" si="3"/>
        <v>3.0881811487481592E-2</v>
      </c>
      <c r="AJ14" s="5">
        <f t="shared" si="3"/>
        <v>3.2319128306939379E-2</v>
      </c>
      <c r="AK14" s="5">
        <f t="shared" si="3"/>
        <v>3.1569466336410716E-2</v>
      </c>
      <c r="AL14" s="5">
        <f t="shared" si="4"/>
        <v>3.3084454777127015E-2</v>
      </c>
      <c r="AM14" s="5">
        <f t="shared" si="4"/>
        <v>3.2508707689559706E-2</v>
      </c>
      <c r="AN14" s="5">
        <f t="shared" si="4"/>
        <v>2.8466070063407834E-2</v>
      </c>
      <c r="AO14" s="5">
        <f t="shared" ref="AO14:AO16" si="6">SUM(M14:R14)/SUM(M$38:R$38)</f>
        <v>3.1895876280817595E-2</v>
      </c>
    </row>
    <row r="15" spans="1:42" x14ac:dyDescent="0.2">
      <c r="A15" s="138" t="s">
        <v>48</v>
      </c>
      <c r="B15" s="138">
        <v>177.4</v>
      </c>
      <c r="C15" s="138">
        <v>160.4</v>
      </c>
      <c r="D15" s="138">
        <f>93.5+59.9</f>
        <v>153.4</v>
      </c>
      <c r="E15" s="138">
        <f>99.4+71.8</f>
        <v>171.2</v>
      </c>
      <c r="F15" s="138">
        <f>56+101</f>
        <v>157</v>
      </c>
      <c r="G15" s="138">
        <f>114.7+58.5</f>
        <v>173.2</v>
      </c>
      <c r="H15" s="141">
        <f>131.2+80.9</f>
        <v>212.1</v>
      </c>
      <c r="I15" s="141">
        <f>163+129</f>
        <v>292</v>
      </c>
      <c r="J15" s="141">
        <f>155+184</f>
        <v>339</v>
      </c>
      <c r="K15" s="141">
        <f>192+187</f>
        <v>379</v>
      </c>
      <c r="L15" s="141">
        <f>186+188</f>
        <v>374</v>
      </c>
      <c r="M15" s="141">
        <f>196+237</f>
        <v>433</v>
      </c>
      <c r="N15" s="141">
        <f>202+266</f>
        <v>468</v>
      </c>
      <c r="O15" s="141">
        <f>213+241</f>
        <v>454</v>
      </c>
      <c r="P15" s="2">
        <f>218+199</f>
        <v>417</v>
      </c>
      <c r="Q15" s="2">
        <f>233+192</f>
        <v>425</v>
      </c>
      <c r="R15" s="2">
        <f>228+215</f>
        <v>443</v>
      </c>
      <c r="S15" s="2">
        <f>229+212</f>
        <v>441</v>
      </c>
      <c r="T15" s="140">
        <f t="shared" si="5"/>
        <v>4.5768503393963144E-3</v>
      </c>
      <c r="U15" s="138"/>
      <c r="V15" s="2" t="str">
        <f t="shared" si="2"/>
        <v>Material, Supplies, Fuel</v>
      </c>
      <c r="W15" s="5">
        <f t="shared" si="3"/>
        <v>1.4416786535664075E-2</v>
      </c>
      <c r="X15" s="5">
        <f t="shared" si="3"/>
        <v>1.4406581760045988E-2</v>
      </c>
      <c r="Y15" s="5">
        <f t="shared" si="3"/>
        <v>1.410237552401265E-2</v>
      </c>
      <c r="Z15" s="5">
        <f t="shared" si="3"/>
        <v>1.4637733203372151E-2</v>
      </c>
      <c r="AA15" s="5">
        <f t="shared" si="3"/>
        <v>1.3445119079223439E-2</v>
      </c>
      <c r="AB15" s="5">
        <f t="shared" si="3"/>
        <v>1.3832871438954071E-2</v>
      </c>
      <c r="AC15" s="5">
        <f t="shared" si="3"/>
        <v>1.6659728385946451E-2</v>
      </c>
      <c r="AD15" s="5">
        <f t="shared" si="3"/>
        <v>1.9588112967062452E-2</v>
      </c>
      <c r="AE15" s="5">
        <f t="shared" si="3"/>
        <v>1.9747189374963593E-2</v>
      </c>
      <c r="AF15" s="5">
        <f t="shared" si="3"/>
        <v>1.9983127702203944E-2</v>
      </c>
      <c r="AG15" s="18">
        <f t="shared" si="3"/>
        <v>1.8564479301101954E-2</v>
      </c>
      <c r="AH15" s="18">
        <f t="shared" si="3"/>
        <v>2.0515493224675448E-2</v>
      </c>
      <c r="AI15" s="18">
        <f t="shared" si="3"/>
        <v>2.1539027982326951E-2</v>
      </c>
      <c r="AJ15" s="18">
        <f t="shared" si="3"/>
        <v>2.0961263216214967E-2</v>
      </c>
      <c r="AK15" s="18">
        <f t="shared" si="3"/>
        <v>1.8779554154469715E-2</v>
      </c>
      <c r="AL15" s="18">
        <f t="shared" si="4"/>
        <v>1.9001207135512139E-2</v>
      </c>
      <c r="AM15" s="18">
        <f t="shared" si="4"/>
        <v>1.9782084486916138E-2</v>
      </c>
      <c r="AN15" s="18">
        <f t="shared" si="4"/>
        <v>1.9831811845122994E-2</v>
      </c>
      <c r="AO15" s="5">
        <f t="shared" si="6"/>
        <v>2.0082307031089541E-2</v>
      </c>
    </row>
    <row r="16" spans="1:42" x14ac:dyDescent="0.2">
      <c r="A16" s="138" t="s">
        <v>22</v>
      </c>
      <c r="B16" s="142">
        <v>68</v>
      </c>
      <c r="C16" s="142">
        <f>370.4+73.5+46.7</f>
        <v>490.59999999999997</v>
      </c>
      <c r="D16" s="142">
        <f>127+51.3+21.5</f>
        <v>199.8</v>
      </c>
      <c r="E16" s="142">
        <f>109.2+2.5+107.2+31.1+17.5</f>
        <v>267.5</v>
      </c>
      <c r="F16" s="142">
        <f>127.8+2.4+118.9+31.5+25.2</f>
        <v>305.8</v>
      </c>
      <c r="G16" s="142">
        <f>143.8+36.5+252.7+115.8</f>
        <v>548.79999999999995</v>
      </c>
      <c r="H16" s="143">
        <f>148.2+221.7+46.9</f>
        <v>416.79999999999995</v>
      </c>
      <c r="I16" s="143">
        <f>34+143+55+141</f>
        <v>373</v>
      </c>
      <c r="J16" s="143">
        <f>174+74+78+43</f>
        <v>369</v>
      </c>
      <c r="K16" s="143">
        <f>108+39+61+249</f>
        <v>457</v>
      </c>
      <c r="L16" s="143">
        <f>345+114+83+120</f>
        <v>662</v>
      </c>
      <c r="M16" s="143">
        <f>70+11+129+140</f>
        <v>350</v>
      </c>
      <c r="N16" s="143">
        <f>112+62+75</f>
        <v>249</v>
      </c>
      <c r="O16" s="143">
        <f>66+94+75</f>
        <v>235</v>
      </c>
      <c r="P16" s="2">
        <f>133+131+92</f>
        <v>356</v>
      </c>
      <c r="Q16" s="2">
        <f>17+102+81</f>
        <v>200</v>
      </c>
      <c r="R16" s="2">
        <f>17+53+96</f>
        <v>166</v>
      </c>
      <c r="S16" s="2">
        <f>35+78</f>
        <v>113</v>
      </c>
      <c r="T16" s="140">
        <f t="shared" si="5"/>
        <v>-0.13859376935340892</v>
      </c>
      <c r="U16" s="330"/>
      <c r="V16" s="2" t="str">
        <f t="shared" si="2"/>
        <v>Other Current Assets</v>
      </c>
      <c r="W16" s="6">
        <f t="shared" si="3"/>
        <v>5.5261639482816066E-3</v>
      </c>
      <c r="X16" s="6">
        <f t="shared" si="3"/>
        <v>4.4064021268569578E-2</v>
      </c>
      <c r="Y16" s="6">
        <f t="shared" si="3"/>
        <v>1.8368022357873062E-2</v>
      </c>
      <c r="Z16" s="6">
        <f t="shared" si="3"/>
        <v>2.2871458130268987E-2</v>
      </c>
      <c r="AA16" s="6">
        <f t="shared" si="3"/>
        <v>2.6188009009086164E-2</v>
      </c>
      <c r="AB16" s="6">
        <f t="shared" si="3"/>
        <v>4.3830715044445689E-2</v>
      </c>
      <c r="AC16" s="102">
        <f t="shared" si="3"/>
        <v>3.2738212122878266E-2</v>
      </c>
      <c r="AD16" s="102">
        <f t="shared" si="3"/>
        <v>2.5021801838062654E-2</v>
      </c>
      <c r="AE16" s="102">
        <f t="shared" si="3"/>
        <v>2.1494728257703734E-2</v>
      </c>
      <c r="AF16" s="102">
        <f t="shared" si="3"/>
        <v>2.4095750289992619E-2</v>
      </c>
      <c r="AG16" s="102">
        <f t="shared" si="3"/>
        <v>3.2860121115854263E-2</v>
      </c>
      <c r="AH16" s="102">
        <f t="shared" si="3"/>
        <v>1.6582962190846207E-2</v>
      </c>
      <c r="AI16" s="102">
        <f t="shared" si="3"/>
        <v>1.1459867452135493E-2</v>
      </c>
      <c r="AJ16" s="102">
        <f t="shared" si="3"/>
        <v>1.0849993074472505E-2</v>
      </c>
      <c r="AK16" s="102">
        <f t="shared" si="3"/>
        <v>1.6032425129475343E-2</v>
      </c>
      <c r="AL16" s="102">
        <f t="shared" si="4"/>
        <v>8.9417445343586525E-3</v>
      </c>
      <c r="AM16" s="102">
        <f t="shared" si="4"/>
        <v>7.412699830311691E-3</v>
      </c>
      <c r="AN16" s="102">
        <f t="shared" si="4"/>
        <v>5.0816207222197235E-3</v>
      </c>
      <c r="AO16" s="5">
        <f t="shared" si="6"/>
        <v>1.1836390053172472E-2</v>
      </c>
    </row>
    <row r="17" spans="1:41" x14ac:dyDescent="0.2">
      <c r="A17" s="163" t="s">
        <v>32</v>
      </c>
      <c r="B17" s="163">
        <f t="shared" ref="B17:L17" si="7">SUM(B12:B16)</f>
        <v>961.19999999999993</v>
      </c>
      <c r="C17" s="163">
        <f t="shared" si="7"/>
        <v>1357.3999999999999</v>
      </c>
      <c r="D17" s="163">
        <f t="shared" si="7"/>
        <v>760.2</v>
      </c>
      <c r="E17" s="163">
        <f t="shared" si="7"/>
        <v>849.4</v>
      </c>
      <c r="F17" s="163">
        <f t="shared" si="7"/>
        <v>756.40000000000009</v>
      </c>
      <c r="G17" s="163">
        <f t="shared" si="7"/>
        <v>1214.3</v>
      </c>
      <c r="H17" s="163">
        <f t="shared" si="7"/>
        <v>1015.3</v>
      </c>
      <c r="I17" s="163">
        <f t="shared" si="7"/>
        <v>1476</v>
      </c>
      <c r="J17" s="163">
        <f t="shared" si="7"/>
        <v>1376</v>
      </c>
      <c r="K17" s="163">
        <f t="shared" si="7"/>
        <v>1572</v>
      </c>
      <c r="L17" s="163">
        <f t="shared" si="7"/>
        <v>1695</v>
      </c>
      <c r="M17" s="163">
        <f t="shared" ref="M17:R17" si="8">SUM(M12:M16)</f>
        <v>1483</v>
      </c>
      <c r="N17" s="163">
        <f t="shared" si="8"/>
        <v>1468</v>
      </c>
      <c r="O17" s="163">
        <f t="shared" si="8"/>
        <v>1442</v>
      </c>
      <c r="P17" s="190">
        <f t="shared" si="8"/>
        <v>1497</v>
      </c>
      <c r="Q17" s="190">
        <f t="shared" ref="Q17" si="9">SUM(Q12:Q16)</f>
        <v>1377</v>
      </c>
      <c r="R17" s="190">
        <f t="shared" si="8"/>
        <v>1354</v>
      </c>
      <c r="S17" s="190">
        <f>SUM(S12:S16)</f>
        <v>1202</v>
      </c>
      <c r="T17" s="284">
        <f>RATE(5,,-M17,R17)</f>
        <v>-1.8036143912388038E-2</v>
      </c>
      <c r="U17" s="330"/>
      <c r="V17" s="172" t="str">
        <f t="shared" si="2"/>
        <v>Total Current Assets</v>
      </c>
      <c r="W17" s="179">
        <f t="shared" si="3"/>
        <v>7.8113952751298232E-2</v>
      </c>
      <c r="X17" s="179">
        <f t="shared" si="3"/>
        <v>0.12191704539330686</v>
      </c>
      <c r="Y17" s="179">
        <f t="shared" si="3"/>
        <v>6.9886739721997507E-2</v>
      </c>
      <c r="Z17" s="179">
        <f t="shared" si="3"/>
        <v>7.262436088168403E-2</v>
      </c>
      <c r="AA17" s="179">
        <f t="shared" si="3"/>
        <v>6.4776357143468855E-2</v>
      </c>
      <c r="AB17" s="179">
        <f t="shared" si="3"/>
        <v>9.6981846352897971E-2</v>
      </c>
      <c r="AC17" s="179">
        <f t="shared" si="3"/>
        <v>7.974833677629152E-2</v>
      </c>
      <c r="AD17" s="179">
        <f t="shared" si="3"/>
        <v>9.901388609378145E-2</v>
      </c>
      <c r="AE17" s="179">
        <f t="shared" si="3"/>
        <v>8.0153783421681127E-2</v>
      </c>
      <c r="AF17" s="179">
        <f t="shared" si="3"/>
        <v>8.2885162923125588E-2</v>
      </c>
      <c r="AG17" s="179">
        <f t="shared" si="3"/>
        <v>8.4135808597240153E-2</v>
      </c>
      <c r="AH17" s="179">
        <f t="shared" si="3"/>
        <v>7.026437979721406E-2</v>
      </c>
      <c r="AI17" s="179">
        <f t="shared" si="3"/>
        <v>6.7562592047128125E-2</v>
      </c>
      <c r="AJ17" s="179">
        <f t="shared" si="3"/>
        <v>6.6577404312295113E-2</v>
      </c>
      <c r="AK17" s="179">
        <f t="shared" si="3"/>
        <v>6.7417248367484806E-2</v>
      </c>
      <c r="AL17" s="179">
        <f t="shared" si="4"/>
        <v>6.1563911119059331E-2</v>
      </c>
      <c r="AM17" s="179">
        <f t="shared" si="4"/>
        <v>6.0462623917120657E-2</v>
      </c>
      <c r="AN17" s="179">
        <f t="shared" si="4"/>
        <v>5.4054054054054057E-2</v>
      </c>
      <c r="AO17" s="289">
        <f>SUM(M17:R17)/SUM(M$38:R$38)</f>
        <v>6.5579382164781416E-2</v>
      </c>
    </row>
    <row r="18" spans="1:41" ht="7.5" customHeight="1" x14ac:dyDescent="0.2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72"/>
      <c r="Q18" s="172"/>
      <c r="R18" s="172"/>
      <c r="S18" s="172"/>
      <c r="T18" s="140"/>
      <c r="U18" s="330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x14ac:dyDescent="0.2">
      <c r="A19" s="165" t="s">
        <v>24</v>
      </c>
      <c r="B19" s="138"/>
      <c r="C19" s="138"/>
      <c r="D19" s="138"/>
      <c r="E19" s="138"/>
      <c r="F19" s="138"/>
      <c r="G19" s="247"/>
      <c r="H19" s="247"/>
      <c r="I19" s="247"/>
      <c r="J19" s="138"/>
      <c r="K19" s="138"/>
      <c r="L19" s="138"/>
      <c r="M19" s="138"/>
      <c r="N19" s="138"/>
      <c r="O19" s="138"/>
      <c r="T19" s="140"/>
      <c r="U19" s="330"/>
      <c r="V19" s="178" t="str">
        <f t="shared" si="2"/>
        <v>Plant &amp; Equipment: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x14ac:dyDescent="0.2">
      <c r="A20" s="138" t="s">
        <v>140</v>
      </c>
      <c r="B20" s="138">
        <f>12862.7-312.4</f>
        <v>12550.300000000001</v>
      </c>
      <c r="C20" s="138">
        <f>12678.9-268.7</f>
        <v>12410.199999999999</v>
      </c>
      <c r="D20" s="138">
        <f>13098.9-364.4</f>
        <v>12734.5</v>
      </c>
      <c r="E20" s="138">
        <f>13516.8-332.5</f>
        <v>13184.3</v>
      </c>
      <c r="F20" s="138">
        <f>14158.2-345.4</f>
        <v>13812.800000000001</v>
      </c>
      <c r="G20" s="138">
        <f>14852.4-593.4</f>
        <v>14259</v>
      </c>
      <c r="H20" s="138">
        <v>15102.4</v>
      </c>
      <c r="I20" s="138">
        <f>6814+2878+4885+671+1766</f>
        <v>17014</v>
      </c>
      <c r="J20" s="138">
        <v>18879</v>
      </c>
      <c r="K20" s="138">
        <v>20330</v>
      </c>
      <c r="L20" s="138">
        <v>22034</v>
      </c>
      <c r="M20" s="138">
        <v>23055</v>
      </c>
      <c r="N20" s="138">
        <v>24024</v>
      </c>
      <c r="O20" s="138">
        <v>24868</v>
      </c>
      <c r="P20" s="2">
        <v>25813</v>
      </c>
      <c r="Q20" s="2">
        <v>26757</v>
      </c>
      <c r="R20" s="2">
        <v>27298</v>
      </c>
      <c r="S20" s="2">
        <v>27341</v>
      </c>
      <c r="T20" s="140">
        <f t="shared" ref="T20:T21" si="10">RATE(5,,-M20,R20)</f>
        <v>3.4363389384028005E-2</v>
      </c>
      <c r="U20" s="330"/>
      <c r="V20" s="2" t="str">
        <f t="shared" si="2"/>
        <v>Plant in Service</v>
      </c>
      <c r="W20" s="5">
        <f t="shared" ref="W20:AK20" si="11">B20/B$38</f>
        <v>1.0199266970605685</v>
      </c>
      <c r="X20" s="5">
        <f t="shared" si="11"/>
        <v>1.1146419012376727</v>
      </c>
      <c r="Y20" s="5">
        <f t="shared" si="11"/>
        <v>1.1707086121938663</v>
      </c>
      <c r="Z20" s="5">
        <f t="shared" si="11"/>
        <v>1.127267908137964</v>
      </c>
      <c r="AA20" s="5">
        <f t="shared" si="11"/>
        <v>1.1828964383280098</v>
      </c>
      <c r="AB20" s="5">
        <f t="shared" si="11"/>
        <v>1.1388158998155087</v>
      </c>
      <c r="AC20" s="5">
        <f t="shared" si="11"/>
        <v>1.1862417820646756</v>
      </c>
      <c r="AD20" s="5">
        <f t="shared" si="11"/>
        <v>1.1413429932246595</v>
      </c>
      <c r="AE20" s="5">
        <f t="shared" si="11"/>
        <v>1.0997262189083707</v>
      </c>
      <c r="AF20" s="5">
        <f t="shared" si="11"/>
        <v>1.0719181693556892</v>
      </c>
      <c r="AG20" s="5">
        <f t="shared" si="11"/>
        <v>1.0937158741189319</v>
      </c>
      <c r="AH20" s="5">
        <f t="shared" si="11"/>
        <v>1.0923434094570263</v>
      </c>
      <c r="AI20" s="5">
        <f t="shared" si="11"/>
        <v>1.1056701030927836</v>
      </c>
      <c r="AJ20" s="5">
        <f t="shared" si="11"/>
        <v>1.1481601181956693</v>
      </c>
      <c r="AK20" s="5">
        <f t="shared" si="11"/>
        <v>1.1624859265931096</v>
      </c>
      <c r="AL20" s="5">
        <f t="shared" ref="AL20:AN20" si="12">Q20/Q$38</f>
        <v>1.1962712925291725</v>
      </c>
      <c r="AM20" s="5">
        <f t="shared" si="12"/>
        <v>1.2189872287219792</v>
      </c>
      <c r="AN20" s="5">
        <f t="shared" si="12"/>
        <v>1.2295273643027387</v>
      </c>
      <c r="AO20" s="5">
        <f t="shared" ref="AO20:AO21" si="13">SUM(M20:R20)/SUM(M$38:R$38)</f>
        <v>1.1548467583048707</v>
      </c>
    </row>
    <row r="21" spans="1:41" x14ac:dyDescent="0.2">
      <c r="A21" s="138" t="s">
        <v>141</v>
      </c>
      <c r="B21" s="138">
        <v>312.39999999999998</v>
      </c>
      <c r="C21" s="138">
        <v>268.7</v>
      </c>
      <c r="D21" s="138">
        <v>364.4</v>
      </c>
      <c r="E21" s="138">
        <v>332.5</v>
      </c>
      <c r="F21" s="138">
        <v>345.4</v>
      </c>
      <c r="G21" s="138">
        <v>593.4</v>
      </c>
      <c r="H21" s="138">
        <v>618.29999999999995</v>
      </c>
      <c r="I21" s="138">
        <v>960</v>
      </c>
      <c r="J21" s="138">
        <v>1220</v>
      </c>
      <c r="K21" s="138">
        <v>1830</v>
      </c>
      <c r="L21" s="138">
        <v>1004</v>
      </c>
      <c r="M21" s="138">
        <v>1207</v>
      </c>
      <c r="N21" s="138">
        <v>1255</v>
      </c>
      <c r="O21" s="138">
        <v>1325</v>
      </c>
      <c r="P21" s="14">
        <v>932</v>
      </c>
      <c r="Q21" s="14">
        <v>629</v>
      </c>
      <c r="R21" s="14">
        <v>657</v>
      </c>
      <c r="S21" s="14">
        <v>716</v>
      </c>
      <c r="T21" s="140">
        <f t="shared" si="10"/>
        <v>-0.11453455044086899</v>
      </c>
      <c r="U21" s="330"/>
      <c r="V21" s="2" t="str">
        <f t="shared" si="2"/>
        <v>Construction Work in Progress</v>
      </c>
      <c r="W21" s="5">
        <f t="shared" ref="W21:Y24" si="14">B21/B$38</f>
        <v>2.538784731534079E-2</v>
      </c>
      <c r="X21" s="5">
        <f t="shared" si="14"/>
        <v>2.4133718945912448E-2</v>
      </c>
      <c r="Y21" s="5">
        <f t="shared" si="14"/>
        <v>3.3500036772817529E-2</v>
      </c>
      <c r="Z21" s="5"/>
      <c r="AA21" s="5">
        <f t="shared" ref="AA21:AK24" si="15">F21/F$38</f>
        <v>2.9579261974291563E-2</v>
      </c>
      <c r="AB21" s="5">
        <f t="shared" si="15"/>
        <v>4.7392759306439637E-2</v>
      </c>
      <c r="AC21" s="5">
        <f t="shared" si="15"/>
        <v>4.8565346822398346E-2</v>
      </c>
      <c r="AD21" s="5">
        <f t="shared" si="15"/>
        <v>6.4399275508150527E-2</v>
      </c>
      <c r="AE21" s="5">
        <f t="shared" si="15"/>
        <v>7.1066581231432405E-2</v>
      </c>
      <c r="AF21" s="5">
        <f t="shared" si="15"/>
        <v>9.6488453021195825E-2</v>
      </c>
      <c r="AG21" s="18">
        <f t="shared" si="15"/>
        <v>4.9836195770872629E-2</v>
      </c>
      <c r="AH21" s="18">
        <f t="shared" si="15"/>
        <v>5.7187529612432481E-2</v>
      </c>
      <c r="AI21" s="18">
        <f t="shared" si="15"/>
        <v>5.7759572901325482E-2</v>
      </c>
      <c r="AJ21" s="18">
        <f t="shared" si="15"/>
        <v>6.1175492866706684E-2</v>
      </c>
      <c r="AK21" s="18">
        <f t="shared" si="15"/>
        <v>4.1972528709750059E-2</v>
      </c>
      <c r="AL21" s="18">
        <f t="shared" ref="AL21:AN24" si="16">Q21/Q$38</f>
        <v>2.8121786560557964E-2</v>
      </c>
      <c r="AM21" s="18">
        <f t="shared" si="16"/>
        <v>2.9338215593462533E-2</v>
      </c>
      <c r="AN21" s="18">
        <f t="shared" si="16"/>
        <v>3.219858793902055E-2</v>
      </c>
      <c r="AO21" s="5">
        <f t="shared" si="13"/>
        <v>4.5679641561247236E-2</v>
      </c>
    </row>
    <row r="22" spans="1:41" hidden="1" x14ac:dyDescent="0.2">
      <c r="A22" s="138" t="s">
        <v>148</v>
      </c>
      <c r="B22" s="138">
        <v>1281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/>
      <c r="K22" s="138"/>
      <c r="L22" s="138">
        <v>0</v>
      </c>
      <c r="M22" s="138">
        <v>0</v>
      </c>
      <c r="N22" s="138">
        <v>0</v>
      </c>
      <c r="O22" s="138">
        <v>0</v>
      </c>
      <c r="P22" s="19"/>
      <c r="Q22" s="19"/>
      <c r="R22" s="19"/>
      <c r="S22" s="19"/>
      <c r="T22" s="140" t="e">
        <f t="shared" ref="T22:T23" si="17">RATE(5,,-L22,R22)</f>
        <v>#NUM!</v>
      </c>
      <c r="U22" s="330"/>
      <c r="V22" s="2" t="str">
        <f t="shared" si="2"/>
        <v>Australian Electric Operations</v>
      </c>
      <c r="W22" s="5">
        <f t="shared" si="14"/>
        <v>0.10410317673159909</v>
      </c>
      <c r="X22" s="5">
        <f t="shared" si="14"/>
        <v>0</v>
      </c>
      <c r="Y22" s="5">
        <f t="shared" si="14"/>
        <v>0</v>
      </c>
      <c r="Z22" s="5">
        <f>E22/E$38</f>
        <v>0</v>
      </c>
      <c r="AA22" s="5">
        <f t="shared" si="15"/>
        <v>0</v>
      </c>
      <c r="AB22" s="5">
        <f t="shared" si="15"/>
        <v>0</v>
      </c>
      <c r="AC22" s="5">
        <f t="shared" si="15"/>
        <v>0</v>
      </c>
      <c r="AD22" s="5">
        <f t="shared" si="15"/>
        <v>0</v>
      </c>
      <c r="AE22" s="5">
        <f t="shared" si="15"/>
        <v>0</v>
      </c>
      <c r="AF22" s="5">
        <f t="shared" si="15"/>
        <v>0</v>
      </c>
      <c r="AG22" s="18">
        <f t="shared" si="15"/>
        <v>0</v>
      </c>
      <c r="AH22" s="18">
        <f t="shared" si="15"/>
        <v>0</v>
      </c>
      <c r="AI22" s="18">
        <f t="shared" si="15"/>
        <v>0</v>
      </c>
      <c r="AJ22" s="18">
        <f t="shared" si="15"/>
        <v>0</v>
      </c>
      <c r="AK22" s="18">
        <f t="shared" si="15"/>
        <v>0</v>
      </c>
      <c r="AL22" s="18">
        <f t="shared" si="16"/>
        <v>0</v>
      </c>
      <c r="AM22" s="18">
        <f t="shared" si="16"/>
        <v>0</v>
      </c>
      <c r="AN22" s="18">
        <f t="shared" si="16"/>
        <v>0</v>
      </c>
      <c r="AO22" s="5">
        <f t="shared" ref="AO22:AO23" si="18">SUM(L22:R22)/SUM(L$38:R$38)</f>
        <v>0</v>
      </c>
    </row>
    <row r="23" spans="1:41" ht="12.75" hidden="1" customHeight="1" x14ac:dyDescent="0.2">
      <c r="A23" s="138" t="s">
        <v>49</v>
      </c>
      <c r="B23" s="142">
        <v>49.4</v>
      </c>
      <c r="C23" s="142">
        <v>33.5</v>
      </c>
      <c r="D23" s="142">
        <v>0</v>
      </c>
      <c r="E23" s="142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T23" s="140" t="e">
        <f t="shared" si="17"/>
        <v>#NUM!</v>
      </c>
      <c r="U23" s="330"/>
      <c r="V23" s="2" t="str">
        <f t="shared" si="2"/>
        <v>Other PP&amp;E</v>
      </c>
      <c r="W23" s="18">
        <f t="shared" si="14"/>
        <v>4.0145955741928141E-3</v>
      </c>
      <c r="X23" s="18">
        <f t="shared" si="14"/>
        <v>3.008855916219081E-3</v>
      </c>
      <c r="Y23" s="18">
        <f t="shared" si="14"/>
        <v>0</v>
      </c>
      <c r="Z23" s="18">
        <f>E23/E$38</f>
        <v>0</v>
      </c>
      <c r="AA23" s="18">
        <f t="shared" si="15"/>
        <v>0</v>
      </c>
      <c r="AB23" s="18">
        <f t="shared" si="15"/>
        <v>0</v>
      </c>
      <c r="AC23" s="18">
        <f t="shared" si="15"/>
        <v>0</v>
      </c>
      <c r="AD23" s="18">
        <f t="shared" si="15"/>
        <v>0</v>
      </c>
      <c r="AE23" s="18">
        <f t="shared" si="15"/>
        <v>0</v>
      </c>
      <c r="AF23" s="18">
        <f t="shared" si="15"/>
        <v>0</v>
      </c>
      <c r="AG23" s="102">
        <f t="shared" si="15"/>
        <v>0</v>
      </c>
      <c r="AH23" s="102">
        <f t="shared" si="15"/>
        <v>0</v>
      </c>
      <c r="AI23" s="102">
        <f t="shared" si="15"/>
        <v>0</v>
      </c>
      <c r="AJ23" s="102">
        <f t="shared" si="15"/>
        <v>0</v>
      </c>
      <c r="AK23" s="102">
        <f t="shared" si="15"/>
        <v>0</v>
      </c>
      <c r="AL23" s="102">
        <f t="shared" si="16"/>
        <v>0</v>
      </c>
      <c r="AM23" s="102">
        <f t="shared" si="16"/>
        <v>0</v>
      </c>
      <c r="AN23" s="102">
        <f t="shared" si="16"/>
        <v>0</v>
      </c>
      <c r="AO23" s="5">
        <f t="shared" si="18"/>
        <v>0</v>
      </c>
    </row>
    <row r="24" spans="1:41" ht="12.75" customHeight="1" x14ac:dyDescent="0.2">
      <c r="A24" s="163" t="s">
        <v>60</v>
      </c>
      <c r="B24" s="190">
        <f t="shared" ref="B24:L24" si="19">SUM(B20:B23)</f>
        <v>14193.1</v>
      </c>
      <c r="C24" s="190">
        <f t="shared" si="19"/>
        <v>12712.4</v>
      </c>
      <c r="D24" s="190">
        <f t="shared" si="19"/>
        <v>13098.9</v>
      </c>
      <c r="E24" s="190">
        <f t="shared" si="19"/>
        <v>13516.8</v>
      </c>
      <c r="F24" s="190">
        <f t="shared" si="19"/>
        <v>14158.2</v>
      </c>
      <c r="G24" s="190">
        <f t="shared" si="19"/>
        <v>14852.4</v>
      </c>
      <c r="H24" s="190">
        <f t="shared" si="19"/>
        <v>15720.699999999999</v>
      </c>
      <c r="I24" s="190">
        <f t="shared" si="19"/>
        <v>17974</v>
      </c>
      <c r="J24" s="190">
        <f t="shared" si="19"/>
        <v>20099</v>
      </c>
      <c r="K24" s="190">
        <f t="shared" si="19"/>
        <v>22160</v>
      </c>
      <c r="L24" s="190">
        <f t="shared" si="19"/>
        <v>23038</v>
      </c>
      <c r="M24" s="190">
        <f t="shared" ref="M24:R24" si="20">SUM(M20:M23)</f>
        <v>24262</v>
      </c>
      <c r="N24" s="190">
        <f t="shared" si="20"/>
        <v>25279</v>
      </c>
      <c r="O24" s="190">
        <f t="shared" si="20"/>
        <v>26193</v>
      </c>
      <c r="P24" s="190">
        <f t="shared" si="20"/>
        <v>26745</v>
      </c>
      <c r="Q24" s="190">
        <f t="shared" ref="Q24" si="21">SUM(Q20:Q23)</f>
        <v>27386</v>
      </c>
      <c r="R24" s="190">
        <f t="shared" si="20"/>
        <v>27955</v>
      </c>
      <c r="S24" s="190">
        <f>SUM(S20:S23)</f>
        <v>28057</v>
      </c>
      <c r="T24" s="284">
        <f>RATE(5,,-M24,R24)</f>
        <v>2.8742257468203553E-2</v>
      </c>
      <c r="U24" s="144"/>
      <c r="V24" s="172" t="str">
        <f t="shared" si="2"/>
        <v>Total Plant &amp; Equipment:</v>
      </c>
      <c r="W24" s="180">
        <f t="shared" si="14"/>
        <v>1.1534323166817011</v>
      </c>
      <c r="X24" s="180">
        <f t="shared" si="14"/>
        <v>1.1417844760998042</v>
      </c>
      <c r="Y24" s="180">
        <f t="shared" si="14"/>
        <v>1.2042086489666837</v>
      </c>
      <c r="Z24" s="180">
        <f>E24/E$38</f>
        <v>1.1556969168419433</v>
      </c>
      <c r="AA24" s="180">
        <f t="shared" si="15"/>
        <v>1.2124757003023012</v>
      </c>
      <c r="AB24" s="180">
        <f t="shared" si="15"/>
        <v>1.1862086591219483</v>
      </c>
      <c r="AC24" s="180">
        <f t="shared" si="15"/>
        <v>1.2348071288870737</v>
      </c>
      <c r="AD24" s="180">
        <f t="shared" si="15"/>
        <v>1.2057422687328101</v>
      </c>
      <c r="AE24" s="180">
        <f t="shared" si="15"/>
        <v>1.1707928001398031</v>
      </c>
      <c r="AF24" s="180">
        <f t="shared" si="15"/>
        <v>1.168406622376885</v>
      </c>
      <c r="AG24" s="180">
        <f t="shared" si="15"/>
        <v>1.1435520698898045</v>
      </c>
      <c r="AH24" s="180">
        <f t="shared" si="15"/>
        <v>1.149530939069459</v>
      </c>
      <c r="AI24" s="180">
        <f t="shared" si="15"/>
        <v>1.163429675994109</v>
      </c>
      <c r="AJ24" s="180">
        <f t="shared" si="15"/>
        <v>1.2093356110623759</v>
      </c>
      <c r="AK24" s="180">
        <f t="shared" si="15"/>
        <v>1.2044584553028597</v>
      </c>
      <c r="AL24" s="180">
        <f t="shared" si="16"/>
        <v>1.2243930790897304</v>
      </c>
      <c r="AM24" s="180">
        <f t="shared" si="16"/>
        <v>1.2483254443154417</v>
      </c>
      <c r="AN24" s="180">
        <f t="shared" si="16"/>
        <v>1.2617259522417592</v>
      </c>
      <c r="AO24" s="289">
        <f>SUM(M24:R24)/SUM(M$38:R$38)</f>
        <v>1.200526399866118</v>
      </c>
    </row>
    <row r="25" spans="1:41" ht="7.5" customHeight="1" x14ac:dyDescent="0.2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T25" s="140"/>
      <c r="U25" s="141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5"/>
    </row>
    <row r="26" spans="1:41" ht="12.75" customHeight="1" x14ac:dyDescent="0.2">
      <c r="A26" s="138" t="s">
        <v>50</v>
      </c>
      <c r="B26" s="141">
        <v>4994.8</v>
      </c>
      <c r="C26" s="138">
        <v>4789.5</v>
      </c>
      <c r="D26" s="138">
        <v>5129.3999999999996</v>
      </c>
      <c r="E26" s="138">
        <v>4818.3</v>
      </c>
      <c r="F26" s="138">
        <v>5121.7</v>
      </c>
      <c r="G26" s="138">
        <v>5361.8</v>
      </c>
      <c r="H26" s="138">
        <v>5611.5</v>
      </c>
      <c r="I26" s="138">
        <v>6125</v>
      </c>
      <c r="J26" s="138">
        <v>6275</v>
      </c>
      <c r="K26" s="138">
        <v>6623</v>
      </c>
      <c r="L26" s="138">
        <v>6646</v>
      </c>
      <c r="M26" s="138">
        <v>6888</v>
      </c>
      <c r="N26" s="138">
        <v>7222</v>
      </c>
      <c r="O26" s="138">
        <v>7686</v>
      </c>
      <c r="P26" s="14">
        <v>8026</v>
      </c>
      <c r="Q26" s="14">
        <v>8360</v>
      </c>
      <c r="R26" s="14">
        <v>8793</v>
      </c>
      <c r="S26" s="14">
        <v>8927</v>
      </c>
      <c r="T26" s="140">
        <f t="shared" ref="T26" si="22">RATE(5,,-M26,R26)</f>
        <v>5.0047117166239226E-2</v>
      </c>
      <c r="U26" s="138"/>
      <c r="V26" s="2" t="str">
        <f t="shared" si="2"/>
        <v>Accumulated Depreciation &amp; Amort.</v>
      </c>
      <c r="W26" s="5">
        <f t="shared" ref="W26:AK26" si="23">B26/B$38</f>
        <v>0.4059129954246613</v>
      </c>
      <c r="X26" s="5">
        <f t="shared" si="23"/>
        <v>0.43017657942481458</v>
      </c>
      <c r="Y26" s="5">
        <f t="shared" si="23"/>
        <v>0.47155622563800831</v>
      </c>
      <c r="Z26" s="5">
        <f t="shared" si="23"/>
        <v>0.41196839891243014</v>
      </c>
      <c r="AA26" s="5">
        <f t="shared" si="23"/>
        <v>0.43861061393667955</v>
      </c>
      <c r="AB26" s="5">
        <f t="shared" si="23"/>
        <v>0.42822800277935302</v>
      </c>
      <c r="AC26" s="5">
        <f t="shared" si="23"/>
        <v>0.44076410107373176</v>
      </c>
      <c r="AD26" s="5">
        <f t="shared" si="23"/>
        <v>0.41088079425773127</v>
      </c>
      <c r="AE26" s="5">
        <f t="shared" si="23"/>
        <v>0.36552688297314617</v>
      </c>
      <c r="AF26" s="5">
        <f t="shared" si="23"/>
        <v>0.3492038384477486</v>
      </c>
      <c r="AG26" s="5">
        <f t="shared" si="23"/>
        <v>0.32989178993348556</v>
      </c>
      <c r="AH26" s="5">
        <f t="shared" si="23"/>
        <v>0.32635269591585331</v>
      </c>
      <c r="AI26" s="5">
        <f t="shared" si="23"/>
        <v>0.33238217967599409</v>
      </c>
      <c r="AJ26" s="5">
        <f t="shared" si="23"/>
        <v>0.35486402881019435</v>
      </c>
      <c r="AK26" s="5">
        <f t="shared" si="23"/>
        <v>0.36145012384598063</v>
      </c>
      <c r="AL26" s="5">
        <f t="shared" ref="AL26:AN26" si="24">Q26/Q$38</f>
        <v>0.37376492153619173</v>
      </c>
      <c r="AM26" s="5">
        <f t="shared" si="24"/>
        <v>0.39264981691524514</v>
      </c>
      <c r="AN26" s="5">
        <f t="shared" si="24"/>
        <v>0.4014480370553582</v>
      </c>
      <c r="AO26" s="5">
        <f t="shared" ref="AO26" si="25">SUM(M26:R26)/SUM(M$38:R$38)</f>
        <v>0.35733574726720879</v>
      </c>
    </row>
    <row r="27" spans="1:41" ht="7.5" customHeight="1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4"/>
      <c r="Q27" s="14"/>
      <c r="R27" s="14"/>
      <c r="S27" s="14"/>
      <c r="T27" s="140"/>
      <c r="U27" s="13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5"/>
    </row>
    <row r="28" spans="1:41" ht="12.75" customHeight="1" x14ac:dyDescent="0.2">
      <c r="A28" s="163" t="s">
        <v>51</v>
      </c>
      <c r="B28" s="163">
        <f t="shared" ref="B28:G28" si="26">B24-B26</f>
        <v>9198.2999999999993</v>
      </c>
      <c r="C28" s="163">
        <f t="shared" si="26"/>
        <v>7922.9</v>
      </c>
      <c r="D28" s="163">
        <f t="shared" si="26"/>
        <v>7969.5</v>
      </c>
      <c r="E28" s="163">
        <f t="shared" si="26"/>
        <v>8698.5</v>
      </c>
      <c r="F28" s="163">
        <f t="shared" si="26"/>
        <v>9036.5</v>
      </c>
      <c r="G28" s="163">
        <f t="shared" si="26"/>
        <v>9490.5999999999985</v>
      </c>
      <c r="H28" s="163">
        <f t="shared" ref="H28:R28" si="27">H24-H26</f>
        <v>10109.199999999999</v>
      </c>
      <c r="I28" s="163">
        <f t="shared" si="27"/>
        <v>11849</v>
      </c>
      <c r="J28" s="163">
        <f t="shared" si="27"/>
        <v>13824</v>
      </c>
      <c r="K28" s="163">
        <f t="shared" si="27"/>
        <v>15537</v>
      </c>
      <c r="L28" s="163">
        <f t="shared" si="27"/>
        <v>16392</v>
      </c>
      <c r="M28" s="163">
        <f t="shared" si="27"/>
        <v>17374</v>
      </c>
      <c r="N28" s="163">
        <f t="shared" si="27"/>
        <v>18057</v>
      </c>
      <c r="O28" s="163">
        <f t="shared" si="27"/>
        <v>18507</v>
      </c>
      <c r="P28" s="163">
        <f t="shared" si="27"/>
        <v>18719</v>
      </c>
      <c r="Q28" s="163">
        <f t="shared" ref="Q28" si="28">Q24-Q26</f>
        <v>19026</v>
      </c>
      <c r="R28" s="163">
        <f t="shared" si="27"/>
        <v>19162</v>
      </c>
      <c r="S28" s="163">
        <f>S24-S26</f>
        <v>19130</v>
      </c>
      <c r="T28" s="164">
        <f>RATE(5,,-M28,R28)</f>
        <v>1.9784023366519684E-2</v>
      </c>
      <c r="U28" s="141"/>
      <c r="V28" s="172" t="str">
        <f t="shared" si="2"/>
        <v>Net Plant &amp; Equipment</v>
      </c>
      <c r="W28" s="179">
        <f t="shared" ref="W28:AK28" si="29">B28/B$38</f>
        <v>0.74751932125703968</v>
      </c>
      <c r="X28" s="179">
        <f t="shared" si="29"/>
        <v>0.71160789667498969</v>
      </c>
      <c r="Y28" s="179">
        <f t="shared" si="29"/>
        <v>0.73265242332867542</v>
      </c>
      <c r="Z28" s="179">
        <f t="shared" si="29"/>
        <v>0.74372851792951322</v>
      </c>
      <c r="AA28" s="179">
        <f t="shared" si="29"/>
        <v>0.77386508636562168</v>
      </c>
      <c r="AB28" s="179">
        <f t="shared" si="29"/>
        <v>0.75798065634259515</v>
      </c>
      <c r="AC28" s="179">
        <f t="shared" si="29"/>
        <v>0.79404302781334202</v>
      </c>
      <c r="AD28" s="179">
        <f t="shared" si="29"/>
        <v>0.79486147447507882</v>
      </c>
      <c r="AE28" s="179">
        <f t="shared" si="29"/>
        <v>0.80526591716665696</v>
      </c>
      <c r="AF28" s="179">
        <f t="shared" si="29"/>
        <v>0.81920278392913637</v>
      </c>
      <c r="AG28" s="179">
        <f t="shared" si="29"/>
        <v>0.81366027995631884</v>
      </c>
      <c r="AH28" s="179">
        <f t="shared" si="29"/>
        <v>0.82317824315360566</v>
      </c>
      <c r="AI28" s="179">
        <f t="shared" si="29"/>
        <v>0.83104749631811492</v>
      </c>
      <c r="AJ28" s="179">
        <f t="shared" si="29"/>
        <v>0.85447158225218156</v>
      </c>
      <c r="AK28" s="179">
        <f t="shared" si="29"/>
        <v>0.84300833145687903</v>
      </c>
      <c r="AL28" s="179">
        <f t="shared" ref="AL28:AN28" si="30">Q28/Q$38</f>
        <v>0.85062815755353871</v>
      </c>
      <c r="AM28" s="179">
        <f t="shared" si="30"/>
        <v>0.85567562740019643</v>
      </c>
      <c r="AN28" s="179">
        <f t="shared" si="30"/>
        <v>0.86027791518640107</v>
      </c>
      <c r="AO28" s="179">
        <f>SUM(M28:R28)/SUM(M$38:R$38)</f>
        <v>0.84319065259890913</v>
      </c>
    </row>
    <row r="29" spans="1:41" ht="7.5" customHeight="1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4"/>
      <c r="Q29" s="14"/>
      <c r="R29" s="14"/>
      <c r="S29" s="14"/>
      <c r="T29" s="140"/>
      <c r="U29" s="330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x14ac:dyDescent="0.2">
      <c r="A30" s="165" t="s">
        <v>69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T30" s="140"/>
      <c r="U30" s="330"/>
      <c r="V30" s="178" t="str">
        <f t="shared" si="2"/>
        <v>Other Assets: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x14ac:dyDescent="0.2">
      <c r="A31" s="138" t="s">
        <v>52</v>
      </c>
      <c r="B31" s="138">
        <v>789.7</v>
      </c>
      <c r="C31" s="138">
        <v>1081.8</v>
      </c>
      <c r="D31" s="138">
        <v>1158.3</v>
      </c>
      <c r="E31" s="138">
        <v>1175.2</v>
      </c>
      <c r="F31" s="138">
        <f>1032.3</f>
        <v>1032.3</v>
      </c>
      <c r="G31" s="138">
        <f>972.8</f>
        <v>972.8</v>
      </c>
      <c r="H31" s="138">
        <v>884.3</v>
      </c>
      <c r="I31" s="138">
        <v>1091</v>
      </c>
      <c r="J31" s="138">
        <v>1624</v>
      </c>
      <c r="K31" s="138">
        <v>1539</v>
      </c>
      <c r="L31" s="138">
        <v>1654</v>
      </c>
      <c r="M31" s="138">
        <v>1810</v>
      </c>
      <c r="N31" s="138">
        <v>1773</v>
      </c>
      <c r="O31" s="138">
        <v>1290</v>
      </c>
      <c r="P31" s="2">
        <v>1574</v>
      </c>
      <c r="Q31" s="2">
        <v>1583</v>
      </c>
      <c r="R31" s="2">
        <v>1490</v>
      </c>
      <c r="S31" s="2">
        <v>1535</v>
      </c>
      <c r="T31" s="140">
        <f t="shared" ref="T31:T35" si="31">RATE(5,,-M31,R31)</f>
        <v>-3.8162868922521624E-2</v>
      </c>
      <c r="U31" s="330"/>
      <c r="V31" s="2" t="str">
        <f t="shared" si="2"/>
        <v>Regulatory Assets</v>
      </c>
      <c r="W31" s="5">
        <f t="shared" ref="W31:AK38" si="32">B31/B$38</f>
        <v>6.4176642205264492E-2</v>
      </c>
      <c r="X31" s="5">
        <f t="shared" si="32"/>
        <v>9.7163591945247804E-2</v>
      </c>
      <c r="Y31" s="5">
        <f t="shared" si="32"/>
        <v>0.10648488637199381</v>
      </c>
      <c r="Z31" s="5">
        <f t="shared" si="32"/>
        <v>0.1004805143726808</v>
      </c>
      <c r="AA31" s="5">
        <f t="shared" si="32"/>
        <v>8.8403798888422647E-2</v>
      </c>
      <c r="AB31" s="5">
        <f t="shared" si="32"/>
        <v>7.7694095472370203E-2</v>
      </c>
      <c r="AC31" s="5">
        <f t="shared" si="32"/>
        <v>6.9458735557248685E-2</v>
      </c>
      <c r="AD31" s="5">
        <f t="shared" si="32"/>
        <v>7.3187093311866902E-2</v>
      </c>
      <c r="AE31" s="5">
        <f t="shared" si="32"/>
        <v>9.4600104852332959E-2</v>
      </c>
      <c r="AF31" s="5">
        <f t="shared" si="32"/>
        <v>8.1145207212907314E-2</v>
      </c>
      <c r="AG31" s="5">
        <f t="shared" si="32"/>
        <v>8.2100665144445542E-2</v>
      </c>
      <c r="AH31" s="5">
        <f t="shared" si="32"/>
        <v>8.57576044726618E-2</v>
      </c>
      <c r="AI31" s="5">
        <f t="shared" si="32"/>
        <v>8.159977908689249E-2</v>
      </c>
      <c r="AJ31" s="5">
        <f t="shared" si="32"/>
        <v>5.955953645135971E-2</v>
      </c>
      <c r="AK31" s="5">
        <f t="shared" si="32"/>
        <v>7.0884935825264575E-2</v>
      </c>
      <c r="AL31" s="5">
        <f t="shared" ref="AL31:AN38" si="33">Q31/Q$38</f>
        <v>7.0773907989448742E-2</v>
      </c>
      <c r="AM31" s="5">
        <f t="shared" si="33"/>
        <v>6.6535679199785661E-2</v>
      </c>
      <c r="AN31" s="5">
        <f t="shared" si="33"/>
        <v>6.9029095651391828E-2</v>
      </c>
      <c r="AO31" s="5">
        <f t="shared" ref="AO31:AO35" si="34">SUM(M31:R31)/SUM(M$38:R$38)</f>
        <v>7.2418016263625914E-2</v>
      </c>
    </row>
    <row r="32" spans="1:41" hidden="1" x14ac:dyDescent="0.2">
      <c r="A32" s="138" t="s">
        <v>53</v>
      </c>
      <c r="B32" s="138">
        <v>382.7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T32" s="140" t="e">
        <f t="shared" si="31"/>
        <v>#NUM!</v>
      </c>
      <c r="U32" s="330"/>
      <c r="V32" s="2" t="str">
        <f t="shared" si="2"/>
        <v>Intangible Assets-net</v>
      </c>
      <c r="W32" s="5">
        <f t="shared" si="32"/>
        <v>3.1100925632461335E-2</v>
      </c>
      <c r="X32" s="5">
        <f t="shared" si="32"/>
        <v>0</v>
      </c>
      <c r="Y32" s="5">
        <f t="shared" si="32"/>
        <v>0</v>
      </c>
      <c r="Z32" s="5">
        <f t="shared" si="32"/>
        <v>0</v>
      </c>
      <c r="AA32" s="5">
        <f t="shared" si="32"/>
        <v>0</v>
      </c>
      <c r="AB32" s="5">
        <f t="shared" si="32"/>
        <v>0</v>
      </c>
      <c r="AC32" s="5">
        <f t="shared" si="32"/>
        <v>0</v>
      </c>
      <c r="AD32" s="5">
        <f t="shared" si="32"/>
        <v>0</v>
      </c>
      <c r="AE32" s="5">
        <f t="shared" si="32"/>
        <v>0</v>
      </c>
      <c r="AF32" s="5">
        <f t="shared" si="32"/>
        <v>0</v>
      </c>
      <c r="AG32" s="5">
        <f t="shared" si="32"/>
        <v>0</v>
      </c>
      <c r="AH32" s="5">
        <f t="shared" si="32"/>
        <v>0</v>
      </c>
      <c r="AI32" s="5">
        <f t="shared" si="32"/>
        <v>0</v>
      </c>
      <c r="AJ32" s="5">
        <f t="shared" si="32"/>
        <v>0</v>
      </c>
      <c r="AK32" s="5">
        <f t="shared" si="32"/>
        <v>0</v>
      </c>
      <c r="AL32" s="5">
        <f t="shared" si="33"/>
        <v>0</v>
      </c>
      <c r="AM32" s="5">
        <f t="shared" si="33"/>
        <v>0</v>
      </c>
      <c r="AN32" s="5">
        <f t="shared" si="33"/>
        <v>0</v>
      </c>
      <c r="AO32" s="5">
        <f t="shared" si="34"/>
        <v>0</v>
      </c>
    </row>
    <row r="33" spans="1:43" x14ac:dyDescent="0.2">
      <c r="A33" s="138" t="s">
        <v>165</v>
      </c>
      <c r="B33" s="138">
        <f>196.8+288.3</f>
        <v>485.1</v>
      </c>
      <c r="C33" s="138">
        <f>189.9+278.3</f>
        <v>468.20000000000005</v>
      </c>
      <c r="D33" s="138">
        <f>468.4+155</f>
        <v>623.4</v>
      </c>
      <c r="E33" s="138">
        <f>506.9+122.3</f>
        <v>629.19999999999993</v>
      </c>
      <c r="F33" s="138">
        <f>422.2+110.3</f>
        <v>532.5</v>
      </c>
      <c r="G33" s="138">
        <f>170+360.3</f>
        <v>530.29999999999995</v>
      </c>
      <c r="H33" s="138">
        <f>94.7+345.3</f>
        <v>440</v>
      </c>
      <c r="I33" s="138">
        <v>215</v>
      </c>
      <c r="J33" s="138">
        <v>86</v>
      </c>
      <c r="K33" s="138">
        <v>43</v>
      </c>
      <c r="L33" s="138">
        <v>9</v>
      </c>
      <c r="M33" s="138">
        <v>4</v>
      </c>
      <c r="N33" s="138">
        <v>1</v>
      </c>
      <c r="O33" s="138">
        <v>0</v>
      </c>
      <c r="P33" s="2">
        <v>0</v>
      </c>
      <c r="Q33" s="2">
        <v>0</v>
      </c>
      <c r="R33" s="2">
        <v>0</v>
      </c>
      <c r="S33" s="2">
        <v>0</v>
      </c>
      <c r="T33" s="140">
        <f t="shared" si="31"/>
        <v>-0.99999940914518248</v>
      </c>
      <c r="U33" s="330"/>
      <c r="V33" s="2" t="str">
        <f t="shared" si="2"/>
        <v>Financial Assets/Derivatives</v>
      </c>
      <c r="W33" s="5">
        <f t="shared" si="32"/>
        <v>3.9422678401638343E-2</v>
      </c>
      <c r="X33" s="5">
        <f t="shared" si="32"/>
        <v>4.2052129551455937E-2</v>
      </c>
      <c r="Y33" s="5">
        <f t="shared" si="32"/>
        <v>5.7310436125615941E-2</v>
      </c>
      <c r="Z33" s="5">
        <f t="shared" si="32"/>
        <v>5.3797089553514935E-2</v>
      </c>
      <c r="AA33" s="5">
        <f t="shared" si="32"/>
        <v>4.5602075857875679E-2</v>
      </c>
      <c r="AB33" s="5">
        <f t="shared" si="32"/>
        <v>4.2353185473887667E-2</v>
      </c>
      <c r="AC33" s="5">
        <f t="shared" si="32"/>
        <v>3.4560492644113337E-2</v>
      </c>
      <c r="AD33" s="5">
        <f t="shared" si="32"/>
        <v>1.4422754410679547E-2</v>
      </c>
      <c r="AE33" s="5">
        <f t="shared" si="32"/>
        <v>5.0096114638550704E-3</v>
      </c>
      <c r="AF33" s="5">
        <f t="shared" si="32"/>
        <v>2.2672150163450385E-3</v>
      </c>
      <c r="AG33" s="5">
        <f t="shared" si="32"/>
        <v>4.4673880671100964E-4</v>
      </c>
      <c r="AH33" s="5">
        <f t="shared" si="32"/>
        <v>1.895195678953852E-4</v>
      </c>
      <c r="AI33" s="5">
        <f t="shared" si="32"/>
        <v>4.6023564064801177E-5</v>
      </c>
      <c r="AJ33" s="5">
        <f t="shared" si="32"/>
        <v>0</v>
      </c>
      <c r="AK33" s="5">
        <f t="shared" si="32"/>
        <v>0</v>
      </c>
      <c r="AL33" s="5">
        <f t="shared" si="33"/>
        <v>0</v>
      </c>
      <c r="AM33" s="5">
        <f t="shared" si="33"/>
        <v>0</v>
      </c>
      <c r="AN33" s="5">
        <f t="shared" si="33"/>
        <v>0</v>
      </c>
      <c r="AO33" s="5">
        <f t="shared" si="34"/>
        <v>3.8034672407366558E-5</v>
      </c>
    </row>
    <row r="34" spans="1:43" hidden="1" x14ac:dyDescent="0.2">
      <c r="A34" s="138" t="s">
        <v>55</v>
      </c>
      <c r="B34" s="138">
        <v>116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2">
        <v>0</v>
      </c>
      <c r="Q34" s="2">
        <v>0</v>
      </c>
      <c r="S34" s="2">
        <v>0</v>
      </c>
      <c r="T34" s="140" t="e">
        <f t="shared" si="31"/>
        <v>#NUM!</v>
      </c>
      <c r="U34" s="330"/>
      <c r="V34" s="2" t="str">
        <f t="shared" si="2"/>
        <v>Investments in Affiliates</v>
      </c>
      <c r="W34" s="5">
        <f t="shared" si="32"/>
        <v>9.4269855588333291E-3</v>
      </c>
      <c r="X34" s="5">
        <f t="shared" si="32"/>
        <v>0</v>
      </c>
      <c r="Y34" s="5">
        <f t="shared" si="32"/>
        <v>0</v>
      </c>
      <c r="Z34" s="5">
        <f t="shared" si="32"/>
        <v>0</v>
      </c>
      <c r="AA34" s="5">
        <f t="shared" si="32"/>
        <v>0</v>
      </c>
      <c r="AB34" s="5">
        <f t="shared" si="32"/>
        <v>0</v>
      </c>
      <c r="AC34" s="5">
        <f t="shared" si="32"/>
        <v>0</v>
      </c>
      <c r="AD34" s="5">
        <f t="shared" si="32"/>
        <v>0</v>
      </c>
      <c r="AE34" s="5">
        <f t="shared" si="32"/>
        <v>0</v>
      </c>
      <c r="AF34" s="5">
        <f t="shared" si="32"/>
        <v>0</v>
      </c>
      <c r="AG34" s="5">
        <f t="shared" si="32"/>
        <v>0</v>
      </c>
      <c r="AH34" s="5">
        <f t="shared" si="32"/>
        <v>0</v>
      </c>
      <c r="AI34" s="5">
        <f t="shared" si="32"/>
        <v>0</v>
      </c>
      <c r="AJ34" s="5">
        <f t="shared" si="32"/>
        <v>0</v>
      </c>
      <c r="AK34" s="5">
        <f t="shared" si="32"/>
        <v>0</v>
      </c>
      <c r="AL34" s="5">
        <f t="shared" si="33"/>
        <v>0</v>
      </c>
      <c r="AM34" s="5">
        <f t="shared" si="33"/>
        <v>0</v>
      </c>
      <c r="AN34" s="5">
        <f t="shared" si="33"/>
        <v>0</v>
      </c>
      <c r="AO34" s="5">
        <f t="shared" si="34"/>
        <v>0</v>
      </c>
    </row>
    <row r="35" spans="1:43" x14ac:dyDescent="0.2">
      <c r="A35" s="138" t="s">
        <v>54</v>
      </c>
      <c r="B35" s="142">
        <v>372.1</v>
      </c>
      <c r="C35" s="142">
        <v>303.5</v>
      </c>
      <c r="D35" s="142">
        <v>366.2</v>
      </c>
      <c r="E35" s="142">
        <v>343.5</v>
      </c>
      <c r="F35" s="142">
        <v>319.39999999999998</v>
      </c>
      <c r="G35" s="142">
        <v>312.89999999999998</v>
      </c>
      <c r="H35" s="143">
        <v>282.5</v>
      </c>
      <c r="I35" s="143">
        <v>276</v>
      </c>
      <c r="J35" s="143">
        <v>257</v>
      </c>
      <c r="K35" s="143">
        <v>275</v>
      </c>
      <c r="L35" s="143">
        <v>396</v>
      </c>
      <c r="M35" s="143">
        <v>435</v>
      </c>
      <c r="N35" s="143">
        <v>429</v>
      </c>
      <c r="O35" s="143">
        <v>420</v>
      </c>
      <c r="P35" s="2">
        <v>415</v>
      </c>
      <c r="Q35" s="2">
        <v>381</v>
      </c>
      <c r="R35" s="2">
        <v>388</v>
      </c>
      <c r="S35" s="2">
        <v>370</v>
      </c>
      <c r="T35" s="140">
        <f t="shared" si="31"/>
        <v>-2.2608644231042713E-2</v>
      </c>
      <c r="U35" s="330"/>
      <c r="V35" s="2" t="str">
        <f t="shared" si="2"/>
        <v>Deferred Charges and Other</v>
      </c>
      <c r="W35" s="6">
        <f t="shared" si="32"/>
        <v>3.02394941934645E-2</v>
      </c>
      <c r="X35" s="6">
        <f t="shared" si="32"/>
        <v>2.7259336434999733E-2</v>
      </c>
      <c r="Y35" s="6">
        <f t="shared" si="32"/>
        <v>3.3665514451717289E-2</v>
      </c>
      <c r="Z35" s="6">
        <f t="shared" si="32"/>
        <v>2.936951726260709E-2</v>
      </c>
      <c r="AA35" s="6">
        <f t="shared" si="32"/>
        <v>2.7352681744611248E-2</v>
      </c>
      <c r="AB35" s="6">
        <f t="shared" si="32"/>
        <v>2.4990216358249009E-2</v>
      </c>
      <c r="AC35" s="102">
        <f t="shared" si="32"/>
        <v>2.2189407209004582E-2</v>
      </c>
      <c r="AD35" s="102">
        <f t="shared" si="32"/>
        <v>1.8514791708593277E-2</v>
      </c>
      <c r="AE35" s="102">
        <f t="shared" si="32"/>
        <v>1.4970583095473874E-2</v>
      </c>
      <c r="AF35" s="102">
        <f t="shared" si="32"/>
        <v>1.4499630918485711E-2</v>
      </c>
      <c r="AG35" s="102">
        <f t="shared" si="32"/>
        <v>1.9656507495284425E-2</v>
      </c>
      <c r="AH35" s="102">
        <f t="shared" si="32"/>
        <v>2.0610253008623139E-2</v>
      </c>
      <c r="AI35" s="102">
        <f t="shared" si="32"/>
        <v>1.9744108983799705E-2</v>
      </c>
      <c r="AJ35" s="102">
        <f t="shared" si="32"/>
        <v>1.9391476984163627E-2</v>
      </c>
      <c r="AK35" s="102">
        <f t="shared" si="32"/>
        <v>1.8689484350371537E-2</v>
      </c>
      <c r="AL35" s="102">
        <f t="shared" si="33"/>
        <v>1.7034023337953234E-2</v>
      </c>
      <c r="AM35" s="102">
        <f t="shared" si="33"/>
        <v>1.7326069482897204E-2</v>
      </c>
      <c r="AN35" s="102">
        <f t="shared" si="33"/>
        <v>1.6638935108153077E-2</v>
      </c>
      <c r="AO35" s="5">
        <f t="shared" si="34"/>
        <v>1.8773914300276133E-2</v>
      </c>
    </row>
    <row r="36" spans="1:43" x14ac:dyDescent="0.2">
      <c r="A36" s="163" t="s">
        <v>70</v>
      </c>
      <c r="B36" s="185">
        <f t="shared" ref="B36:L36" si="35">SUM(B31:B35)</f>
        <v>2145.6</v>
      </c>
      <c r="C36" s="185">
        <f t="shared" si="35"/>
        <v>1853.5</v>
      </c>
      <c r="D36" s="185">
        <f t="shared" si="35"/>
        <v>2147.8999999999996</v>
      </c>
      <c r="E36" s="185">
        <f t="shared" si="35"/>
        <v>2147.9</v>
      </c>
      <c r="F36" s="185">
        <f t="shared" si="35"/>
        <v>1884.1999999999998</v>
      </c>
      <c r="G36" s="185">
        <f t="shared" si="35"/>
        <v>1816</v>
      </c>
      <c r="H36" s="186">
        <f t="shared" si="35"/>
        <v>1606.8</v>
      </c>
      <c r="I36" s="186">
        <f t="shared" si="35"/>
        <v>1582</v>
      </c>
      <c r="J36" s="186">
        <f>SUM(J31:J35)</f>
        <v>1967</v>
      </c>
      <c r="K36" s="186">
        <f>SUM(K31:K35)</f>
        <v>1857</v>
      </c>
      <c r="L36" s="186">
        <f t="shared" si="35"/>
        <v>2059</v>
      </c>
      <c r="M36" s="186">
        <f t="shared" ref="M36:R36" si="36">SUM(M31:M35)</f>
        <v>2249</v>
      </c>
      <c r="N36" s="186">
        <f t="shared" si="36"/>
        <v>2203</v>
      </c>
      <c r="O36" s="186">
        <f t="shared" si="36"/>
        <v>1710</v>
      </c>
      <c r="P36" s="186">
        <f t="shared" si="36"/>
        <v>1989</v>
      </c>
      <c r="Q36" s="186">
        <f t="shared" ref="Q36" si="37">SUM(Q31:Q35)</f>
        <v>1964</v>
      </c>
      <c r="R36" s="186">
        <f t="shared" si="36"/>
        <v>1878</v>
      </c>
      <c r="S36" s="186">
        <f>SUM(S31:S35)</f>
        <v>1905</v>
      </c>
      <c r="T36" s="284">
        <f>RATE(5,,-M36,R36)</f>
        <v>-3.5413395394855531E-2</v>
      </c>
      <c r="U36" s="330"/>
      <c r="V36" s="172" t="str">
        <f t="shared" si="2"/>
        <v>Total Other Assets</v>
      </c>
      <c r="W36" s="181">
        <f t="shared" si="32"/>
        <v>0.17436672599166197</v>
      </c>
      <c r="X36" s="181">
        <f t="shared" si="32"/>
        <v>0.16647505793170347</v>
      </c>
      <c r="Y36" s="181">
        <f t="shared" si="32"/>
        <v>0.19746083694932701</v>
      </c>
      <c r="Z36" s="181">
        <f t="shared" si="32"/>
        <v>0.18364712118880283</v>
      </c>
      <c r="AA36" s="181">
        <f t="shared" si="32"/>
        <v>0.16135855649090955</v>
      </c>
      <c r="AB36" s="181">
        <f t="shared" si="32"/>
        <v>0.14503749730450688</v>
      </c>
      <c r="AC36" s="182">
        <f t="shared" si="32"/>
        <v>0.12620863541036659</v>
      </c>
      <c r="AD36" s="182">
        <f t="shared" si="32"/>
        <v>0.10612463943113973</v>
      </c>
      <c r="AE36" s="182">
        <f t="shared" si="32"/>
        <v>0.11458029941166191</v>
      </c>
      <c r="AF36" s="182">
        <f t="shared" si="32"/>
        <v>9.7912053147738057E-2</v>
      </c>
      <c r="AG36" s="182">
        <f t="shared" si="32"/>
        <v>0.10220391144644098</v>
      </c>
      <c r="AH36" s="182">
        <f t="shared" si="32"/>
        <v>0.10655737704918032</v>
      </c>
      <c r="AI36" s="182">
        <f t="shared" si="32"/>
        <v>0.101389911634757</v>
      </c>
      <c r="AJ36" s="182">
        <f t="shared" si="32"/>
        <v>7.895101343552334E-2</v>
      </c>
      <c r="AK36" s="182">
        <f t="shared" si="32"/>
        <v>8.9574420175636119E-2</v>
      </c>
      <c r="AL36" s="182">
        <f t="shared" si="33"/>
        <v>8.7807931327401972E-2</v>
      </c>
      <c r="AM36" s="182">
        <f t="shared" si="33"/>
        <v>8.3861748682682868E-2</v>
      </c>
      <c r="AN36" s="182">
        <f t="shared" si="33"/>
        <v>8.5668030759544905E-2</v>
      </c>
      <c r="AO36" s="289">
        <f>SUM(M36:R36)/SUM(M$38:R$38)</f>
        <v>9.1229965236309427E-2</v>
      </c>
    </row>
    <row r="37" spans="1:43" x14ac:dyDescent="0.2">
      <c r="A37" s="138" t="s">
        <v>36</v>
      </c>
      <c r="B37" s="142">
        <f t="shared" ref="B37:L37" si="38">B28+B36</f>
        <v>11343.9</v>
      </c>
      <c r="C37" s="142">
        <f t="shared" si="38"/>
        <v>9776.4</v>
      </c>
      <c r="D37" s="142">
        <f t="shared" si="38"/>
        <v>10117.4</v>
      </c>
      <c r="E37" s="142">
        <f t="shared" si="38"/>
        <v>10846.4</v>
      </c>
      <c r="F37" s="142">
        <f t="shared" si="38"/>
        <v>10920.7</v>
      </c>
      <c r="G37" s="142">
        <f t="shared" si="38"/>
        <v>11306.599999999999</v>
      </c>
      <c r="H37" s="141">
        <f t="shared" si="38"/>
        <v>11715.999999999998</v>
      </c>
      <c r="I37" s="141">
        <f t="shared" si="38"/>
        <v>13431</v>
      </c>
      <c r="J37" s="141">
        <f>J28+J36</f>
        <v>15791</v>
      </c>
      <c r="K37" s="141">
        <f>K28+K36</f>
        <v>17394</v>
      </c>
      <c r="L37" s="141">
        <f t="shared" si="38"/>
        <v>18451</v>
      </c>
      <c r="M37" s="141">
        <f t="shared" ref="M37:R37" si="39">M28+M36</f>
        <v>19623</v>
      </c>
      <c r="N37" s="141">
        <f t="shared" si="39"/>
        <v>20260</v>
      </c>
      <c r="O37" s="141">
        <f t="shared" si="39"/>
        <v>20217</v>
      </c>
      <c r="P37" s="141">
        <f t="shared" si="39"/>
        <v>20708</v>
      </c>
      <c r="Q37" s="141">
        <f t="shared" ref="Q37" si="40">Q28+Q36</f>
        <v>20990</v>
      </c>
      <c r="R37" s="141">
        <f t="shared" si="39"/>
        <v>21040</v>
      </c>
      <c r="S37" s="141">
        <f>S28+S36</f>
        <v>21035</v>
      </c>
      <c r="T37" s="284">
        <f>RATE(5,,-M37,R37)</f>
        <v>1.404228759748115E-2</v>
      </c>
      <c r="U37" s="144"/>
      <c r="V37" s="2" t="str">
        <f t="shared" si="2"/>
        <v>Total Non-Current Assets</v>
      </c>
      <c r="W37" s="6">
        <f t="shared" si="32"/>
        <v>0.92188604724870171</v>
      </c>
      <c r="X37" s="6">
        <f t="shared" si="32"/>
        <v>0.87808295460669317</v>
      </c>
      <c r="Y37" s="6">
        <f t="shared" si="32"/>
        <v>0.93011326027800245</v>
      </c>
      <c r="Z37" s="6">
        <f t="shared" si="32"/>
        <v>0.927375639118316</v>
      </c>
      <c r="AA37" s="6">
        <f t="shared" si="32"/>
        <v>0.93522364285653137</v>
      </c>
      <c r="AB37" s="6">
        <f t="shared" si="32"/>
        <v>0.90301815364710214</v>
      </c>
      <c r="AC37" s="97">
        <f t="shared" si="32"/>
        <v>0.92025166322370855</v>
      </c>
      <c r="AD37" s="97">
        <f t="shared" si="32"/>
        <v>0.90098611390621852</v>
      </c>
      <c r="AE37" s="97">
        <f t="shared" si="32"/>
        <v>0.91984621657831889</v>
      </c>
      <c r="AF37" s="97">
        <f t="shared" si="32"/>
        <v>0.91711483707687436</v>
      </c>
      <c r="AG37" s="97">
        <f t="shared" si="32"/>
        <v>0.91586419140275988</v>
      </c>
      <c r="AH37" s="97">
        <f t="shared" si="32"/>
        <v>0.92973562020278588</v>
      </c>
      <c r="AI37" s="97">
        <f t="shared" si="32"/>
        <v>0.93243740795287189</v>
      </c>
      <c r="AJ37" s="97">
        <f t="shared" si="32"/>
        <v>0.93342259568770491</v>
      </c>
      <c r="AK37" s="97">
        <f t="shared" si="32"/>
        <v>0.93258275163251525</v>
      </c>
      <c r="AL37" s="97">
        <f t="shared" si="33"/>
        <v>0.93843608888094066</v>
      </c>
      <c r="AM37" s="97">
        <f t="shared" si="33"/>
        <v>0.93953737608287935</v>
      </c>
      <c r="AN37" s="97">
        <f t="shared" si="33"/>
        <v>0.94594594594594594</v>
      </c>
      <c r="AO37" s="290">
        <f>SUM(M37:R37)/SUM(M$38:R$38)</f>
        <v>0.93442061783521857</v>
      </c>
    </row>
    <row r="38" spans="1:43" ht="13.5" thickBot="1" x14ac:dyDescent="0.25">
      <c r="A38" s="163" t="s">
        <v>31</v>
      </c>
      <c r="B38" s="187">
        <f t="shared" ref="B38:G38" si="41">B17+B28+B36</f>
        <v>12305.1</v>
      </c>
      <c r="C38" s="187">
        <f t="shared" si="41"/>
        <v>11133.8</v>
      </c>
      <c r="D38" s="187">
        <f t="shared" si="41"/>
        <v>10877.6</v>
      </c>
      <c r="E38" s="187">
        <f t="shared" si="41"/>
        <v>11695.8</v>
      </c>
      <c r="F38" s="187">
        <f t="shared" si="41"/>
        <v>11677.099999999999</v>
      </c>
      <c r="G38" s="187">
        <f t="shared" si="41"/>
        <v>12520.899999999998</v>
      </c>
      <c r="H38" s="188">
        <f t="shared" ref="H38:R38" si="42">H17+H28+H36</f>
        <v>12731.299999999997</v>
      </c>
      <c r="I38" s="188">
        <f t="shared" si="42"/>
        <v>14907</v>
      </c>
      <c r="J38" s="188">
        <f t="shared" si="42"/>
        <v>17167</v>
      </c>
      <c r="K38" s="188">
        <f t="shared" si="42"/>
        <v>18966</v>
      </c>
      <c r="L38" s="188">
        <f t="shared" si="42"/>
        <v>20146</v>
      </c>
      <c r="M38" s="188">
        <f t="shared" si="42"/>
        <v>21106</v>
      </c>
      <c r="N38" s="188">
        <f t="shared" si="42"/>
        <v>21728</v>
      </c>
      <c r="O38" s="188">
        <f t="shared" si="42"/>
        <v>21659</v>
      </c>
      <c r="P38" s="188">
        <f t="shared" si="42"/>
        <v>22205</v>
      </c>
      <c r="Q38" s="188">
        <f t="shared" ref="Q38" si="43">Q17+Q28+Q36</f>
        <v>22367</v>
      </c>
      <c r="R38" s="188">
        <f t="shared" si="42"/>
        <v>22394</v>
      </c>
      <c r="S38" s="188">
        <f>S17+S28+S36</f>
        <v>22237</v>
      </c>
      <c r="T38" s="284">
        <f>RATE(5,,-M38,R38)</f>
        <v>1.1917596450673843E-2</v>
      </c>
      <c r="U38" s="141"/>
      <c r="V38" s="172" t="str">
        <f t="shared" si="2"/>
        <v>Total Assets</v>
      </c>
      <c r="W38" s="183">
        <f t="shared" si="32"/>
        <v>1</v>
      </c>
      <c r="X38" s="183">
        <f t="shared" si="32"/>
        <v>1</v>
      </c>
      <c r="Y38" s="183">
        <f t="shared" si="32"/>
        <v>1</v>
      </c>
      <c r="Z38" s="183">
        <f t="shared" si="32"/>
        <v>1</v>
      </c>
      <c r="AA38" s="183">
        <f t="shared" si="32"/>
        <v>1</v>
      </c>
      <c r="AB38" s="183">
        <f t="shared" si="32"/>
        <v>1</v>
      </c>
      <c r="AC38" s="184">
        <f t="shared" si="32"/>
        <v>1</v>
      </c>
      <c r="AD38" s="184">
        <f t="shared" si="32"/>
        <v>1</v>
      </c>
      <c r="AE38" s="184">
        <f t="shared" si="32"/>
        <v>1</v>
      </c>
      <c r="AF38" s="184">
        <f t="shared" si="32"/>
        <v>1</v>
      </c>
      <c r="AG38" s="184">
        <f t="shared" si="32"/>
        <v>1</v>
      </c>
      <c r="AH38" s="184">
        <f t="shared" si="32"/>
        <v>1</v>
      </c>
      <c r="AI38" s="184">
        <f t="shared" si="32"/>
        <v>1</v>
      </c>
      <c r="AJ38" s="184">
        <f t="shared" si="32"/>
        <v>1</v>
      </c>
      <c r="AK38" s="184">
        <f t="shared" si="32"/>
        <v>1</v>
      </c>
      <c r="AL38" s="184">
        <f t="shared" si="33"/>
        <v>1</v>
      </c>
      <c r="AM38" s="184">
        <f t="shared" si="33"/>
        <v>1</v>
      </c>
      <c r="AN38" s="184">
        <f t="shared" si="33"/>
        <v>1</v>
      </c>
      <c r="AO38" s="289">
        <f>SUM(M38:R38)/SUM(M$38:R$38)</f>
        <v>1</v>
      </c>
    </row>
    <row r="39" spans="1:43" ht="13.5" thickTop="1" x14ac:dyDescent="0.2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285"/>
      <c r="U39" s="330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326"/>
      <c r="AO39" s="331"/>
    </row>
    <row r="40" spans="1:43" ht="7.5" customHeight="1" x14ac:dyDescent="0.2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73"/>
      <c r="Q40" s="173"/>
      <c r="R40" s="173"/>
      <c r="S40" s="173"/>
      <c r="T40" s="140"/>
      <c r="U40" s="330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3" x14ac:dyDescent="0.2">
      <c r="A41" s="165" t="s">
        <v>9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9"/>
      <c r="Q41" s="19"/>
      <c r="R41" s="19"/>
      <c r="S41" s="19"/>
      <c r="T41" s="140"/>
      <c r="U41" s="141"/>
      <c r="V41" s="178" t="str">
        <f t="shared" si="2"/>
        <v>Current Liabilities: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3" x14ac:dyDescent="0.2">
      <c r="A42" s="138" t="s">
        <v>56</v>
      </c>
      <c r="B42" s="138">
        <v>186.9</v>
      </c>
      <c r="C42" s="138">
        <v>51.2</v>
      </c>
      <c r="D42" s="138">
        <v>144.5</v>
      </c>
      <c r="E42" s="138">
        <v>136.69999999999999</v>
      </c>
      <c r="F42" s="138">
        <v>240</v>
      </c>
      <c r="G42" s="138">
        <v>269.89999999999998</v>
      </c>
      <c r="H42" s="138">
        <v>216.9</v>
      </c>
      <c r="I42" s="138">
        <v>414</v>
      </c>
      <c r="J42" s="138">
        <v>144</v>
      </c>
      <c r="K42" s="138">
        <v>16</v>
      </c>
      <c r="L42" s="138">
        <v>588</v>
      </c>
      <c r="M42" s="138">
        <v>19</v>
      </c>
      <c r="N42" s="138">
        <v>267</v>
      </c>
      <c r="O42" s="138">
        <v>238</v>
      </c>
      <c r="P42" s="2">
        <v>134</v>
      </c>
      <c r="Q42" s="2">
        <v>68</v>
      </c>
      <c r="R42" s="2">
        <v>58</v>
      </c>
      <c r="S42" s="2">
        <v>93</v>
      </c>
      <c r="T42" s="140">
        <f t="shared" ref="T42:T47" si="44">RATE(5,,-M42,R42)</f>
        <v>0.25007157075034653</v>
      </c>
      <c r="U42" s="141"/>
      <c r="V42" s="2" t="str">
        <f t="shared" si="2"/>
        <v>Current Maturities LTD</v>
      </c>
      <c r="W42" s="5">
        <f t="shared" ref="W42:AK45" si="45">B42/B$38</f>
        <v>1.5188824146085769E-2</v>
      </c>
      <c r="X42" s="5">
        <f t="shared" si="45"/>
        <v>4.5986096391169235E-3</v>
      </c>
      <c r="Y42" s="5">
        <f t="shared" si="45"/>
        <v>1.3284180333897182E-2</v>
      </c>
      <c r="Z42" s="5">
        <f t="shared" si="45"/>
        <v>1.1687956360402879E-2</v>
      </c>
      <c r="AA42" s="5">
        <f t="shared" si="45"/>
        <v>2.0553048273972137E-2</v>
      </c>
      <c r="AB42" s="5">
        <f t="shared" si="45"/>
        <v>2.1555958437492515E-2</v>
      </c>
      <c r="AC42" s="5">
        <f t="shared" si="45"/>
        <v>1.7036751942064051E-2</v>
      </c>
      <c r="AD42" s="5">
        <f t="shared" si="45"/>
        <v>2.7772187562889919E-2</v>
      </c>
      <c r="AE42" s="5">
        <f t="shared" si="45"/>
        <v>8.3881866371526767E-3</v>
      </c>
      <c r="AF42" s="5">
        <f t="shared" si="45"/>
        <v>8.4361488980280502E-4</v>
      </c>
      <c r="AG42" s="5">
        <f t="shared" si="45"/>
        <v>2.9186935371785964E-2</v>
      </c>
      <c r="AH42" s="5">
        <f t="shared" si="45"/>
        <v>9.0021794750307972E-4</v>
      </c>
      <c r="AI42" s="5">
        <f t="shared" si="45"/>
        <v>1.2288291605301914E-2</v>
      </c>
      <c r="AJ42" s="5">
        <f t="shared" si="45"/>
        <v>1.0988503624359389E-2</v>
      </c>
      <c r="AK42" s="5">
        <f t="shared" si="45"/>
        <v>6.0346768745777974E-3</v>
      </c>
      <c r="AL42" s="5">
        <f t="shared" ref="AL42:AN45" si="46">Q42/Q$38</f>
        <v>3.0401931416819423E-3</v>
      </c>
      <c r="AM42" s="5">
        <f t="shared" si="46"/>
        <v>2.5899794587836028E-3</v>
      </c>
      <c r="AN42" s="5">
        <f t="shared" si="46"/>
        <v>4.1822188244817196E-3</v>
      </c>
      <c r="AO42" s="5">
        <f t="shared" ref="AO42:AO47" si="47">SUM(M42:R42)/SUM(M$38:R$38)</f>
        <v>5.9638366334750755E-3</v>
      </c>
    </row>
    <row r="43" spans="1:43" x14ac:dyDescent="0.2">
      <c r="A43" s="138" t="s">
        <v>168</v>
      </c>
      <c r="B43" s="138">
        <v>109</v>
      </c>
      <c r="C43" s="138">
        <v>240.5</v>
      </c>
      <c r="D43" s="138">
        <v>177.5</v>
      </c>
      <c r="E43" s="138">
        <v>25</v>
      </c>
      <c r="F43" s="138">
        <v>124.9</v>
      </c>
      <c r="G43" s="138">
        <v>468.8</v>
      </c>
      <c r="H43" s="138">
        <v>184.4</v>
      </c>
      <c r="I43" s="138">
        <v>0</v>
      </c>
      <c r="J43" s="138">
        <v>85</v>
      </c>
      <c r="K43" s="138">
        <v>0</v>
      </c>
      <c r="L43" s="138">
        <v>36</v>
      </c>
      <c r="M43" s="138">
        <v>688</v>
      </c>
      <c r="N43" s="138">
        <v>0</v>
      </c>
      <c r="O43" s="138">
        <v>0</v>
      </c>
      <c r="P43" s="2">
        <v>20</v>
      </c>
      <c r="Q43" s="2">
        <v>20</v>
      </c>
      <c r="R43" s="2">
        <v>270</v>
      </c>
      <c r="S43" s="2">
        <v>8</v>
      </c>
      <c r="T43" s="140">
        <f t="shared" si="44"/>
        <v>-0.17061712246545266</v>
      </c>
      <c r="U43" s="141"/>
      <c r="V43" s="2" t="str">
        <f t="shared" si="2"/>
        <v>Short-term Debt</v>
      </c>
      <c r="W43" s="5">
        <f t="shared" si="45"/>
        <v>8.8581157406278695E-3</v>
      </c>
      <c r="X43" s="5">
        <f t="shared" si="45"/>
        <v>2.1600890980617581E-2</v>
      </c>
      <c r="Y43" s="5">
        <f t="shared" si="45"/>
        <v>1.6317937780392734E-2</v>
      </c>
      <c r="Z43" s="5">
        <f t="shared" si="45"/>
        <v>2.1375194514270082E-3</v>
      </c>
      <c r="AA43" s="5">
        <f t="shared" si="45"/>
        <v>1.0696148872579666E-2</v>
      </c>
      <c r="AB43" s="5">
        <f t="shared" si="45"/>
        <v>3.7441397982573142E-2</v>
      </c>
      <c r="AC43" s="5">
        <f t="shared" si="45"/>
        <v>1.4483988280851134E-2</v>
      </c>
      <c r="AD43" s="5">
        <f t="shared" si="45"/>
        <v>0</v>
      </c>
      <c r="AE43" s="5">
        <f t="shared" si="45"/>
        <v>4.9513601677637327E-3</v>
      </c>
      <c r="AF43" s="5">
        <f t="shared" si="45"/>
        <v>0</v>
      </c>
      <c r="AG43" s="5">
        <f t="shared" si="45"/>
        <v>1.7869552268440386E-3</v>
      </c>
      <c r="AH43" s="5">
        <f t="shared" si="45"/>
        <v>3.2597365678006252E-2</v>
      </c>
      <c r="AI43" s="5">
        <f t="shared" si="45"/>
        <v>0</v>
      </c>
      <c r="AJ43" s="5">
        <f t="shared" si="45"/>
        <v>0</v>
      </c>
      <c r="AK43" s="5">
        <f t="shared" si="45"/>
        <v>9.0069804098176086E-4</v>
      </c>
      <c r="AL43" s="5">
        <f t="shared" si="46"/>
        <v>8.9417445343586532E-4</v>
      </c>
      <c r="AM43" s="5">
        <f t="shared" si="46"/>
        <v>1.205680092882022E-2</v>
      </c>
      <c r="AN43" s="5">
        <f t="shared" si="46"/>
        <v>3.5976075909520167E-4</v>
      </c>
      <c r="AO43" s="5">
        <f t="shared" si="47"/>
        <v>7.5917206125103642E-3</v>
      </c>
      <c r="AQ43" s="5">
        <f>AVERAGE(AC43:AG43)</f>
        <v>4.2444607350917811E-3</v>
      </c>
    </row>
    <row r="44" spans="1:43" x14ac:dyDescent="0.2">
      <c r="A44" s="138" t="s">
        <v>1</v>
      </c>
      <c r="B44" s="138">
        <v>437.4</v>
      </c>
      <c r="C44" s="138">
        <v>609.9</v>
      </c>
      <c r="D44" s="138">
        <v>292.7</v>
      </c>
      <c r="E44" s="138">
        <v>243.4</v>
      </c>
      <c r="F44" s="138">
        <v>262.60000000000002</v>
      </c>
      <c r="G44" s="138">
        <v>350.4</v>
      </c>
      <c r="H44" s="138">
        <v>361.3</v>
      </c>
      <c r="I44" s="138">
        <v>451</v>
      </c>
      <c r="J44" s="138">
        <v>757</v>
      </c>
      <c r="K44" s="138">
        <v>553</v>
      </c>
      <c r="L44" s="138">
        <v>479</v>
      </c>
      <c r="M44" s="138">
        <v>582</v>
      </c>
      <c r="N44" s="138">
        <v>467</v>
      </c>
      <c r="O44" s="138">
        <v>504</v>
      </c>
      <c r="P44" s="2">
        <v>465</v>
      </c>
      <c r="Q44" s="2">
        <v>473</v>
      </c>
      <c r="R44" s="2">
        <v>408</v>
      </c>
      <c r="S44" s="2">
        <v>371</v>
      </c>
      <c r="T44" s="140">
        <f t="shared" si="44"/>
        <v>-6.8575975368554504E-2</v>
      </c>
      <c r="U44" s="330"/>
      <c r="V44" s="2" t="str">
        <f t="shared" si="2"/>
        <v>Accounts Payable</v>
      </c>
      <c r="W44" s="5">
        <f t="shared" si="45"/>
        <v>3.5546236926152566E-2</v>
      </c>
      <c r="X44" s="5">
        <f t="shared" si="45"/>
        <v>5.4779140994090071E-2</v>
      </c>
      <c r="Y44" s="5">
        <f t="shared" si="45"/>
        <v>2.6908509229977198E-2</v>
      </c>
      <c r="Z44" s="5">
        <f t="shared" si="45"/>
        <v>2.0810889379093353E-2</v>
      </c>
      <c r="AA44" s="5">
        <f t="shared" si="45"/>
        <v>2.248846031977118E-2</v>
      </c>
      <c r="AB44" s="5">
        <f t="shared" si="45"/>
        <v>2.7985208731001767E-2</v>
      </c>
      <c r="AC44" s="5">
        <f t="shared" si="45"/>
        <v>2.8378877255268518E-2</v>
      </c>
      <c r="AD44" s="5">
        <f t="shared" si="45"/>
        <v>3.0254242973099886E-2</v>
      </c>
      <c r="AE44" s="5">
        <f t="shared" si="45"/>
        <v>4.4096231141142889E-2</v>
      </c>
      <c r="AF44" s="5">
        <f t="shared" si="45"/>
        <v>2.9157439628809449E-2</v>
      </c>
      <c r="AG44" s="5">
        <f t="shared" si="45"/>
        <v>2.3776432046063736E-2</v>
      </c>
      <c r="AH44" s="5">
        <f t="shared" si="45"/>
        <v>2.7575097128778547E-2</v>
      </c>
      <c r="AI44" s="5">
        <f t="shared" si="45"/>
        <v>2.149300441826215E-2</v>
      </c>
      <c r="AJ44" s="5">
        <f t="shared" si="45"/>
        <v>2.3269772380996354E-2</v>
      </c>
      <c r="AK44" s="5">
        <f t="shared" si="45"/>
        <v>2.0941229452825939E-2</v>
      </c>
      <c r="AL44" s="5">
        <f t="shared" si="46"/>
        <v>2.1147225823758217E-2</v>
      </c>
      <c r="AM44" s="5">
        <f t="shared" si="46"/>
        <v>1.8219165847995E-2</v>
      </c>
      <c r="AN44" s="5">
        <f t="shared" si="46"/>
        <v>1.668390520303998E-2</v>
      </c>
      <c r="AO44" s="5">
        <f t="shared" si="47"/>
        <v>2.2052503061791129E-2</v>
      </c>
    </row>
    <row r="45" spans="1:43" x14ac:dyDescent="0.2">
      <c r="A45" s="138" t="s">
        <v>169</v>
      </c>
      <c r="B45" s="138">
        <f>153.8+97.3+4.2+4.6</f>
        <v>259.90000000000003</v>
      </c>
      <c r="C45" s="138">
        <f>61.9+84.1+377.5+18.7</f>
        <v>542.20000000000005</v>
      </c>
      <c r="D45" s="138">
        <f>91.8+115.9+100.8+151.7</f>
        <v>460.2</v>
      </c>
      <c r="E45" s="138">
        <f>141.3+63.1+67.9+91.7+39.6</f>
        <v>403.6</v>
      </c>
      <c r="F45" s="138">
        <f>131.5+54.2+66.1+76.9+3.7+2.6</f>
        <v>335</v>
      </c>
      <c r="G45" s="138">
        <f>134.3+39.8+64.8+136.7+2+3.7+3.9</f>
        <v>385.2</v>
      </c>
      <c r="H45" s="138">
        <f>118+47+63+97.9+16.9+3.7+3.8</f>
        <v>350.29999999999995</v>
      </c>
      <c r="I45" s="138">
        <f>80+28+74</f>
        <v>182</v>
      </c>
      <c r="J45" s="138">
        <f>77+89+73</f>
        <v>239</v>
      </c>
      <c r="K45" s="138">
        <f>76+111+67</f>
        <v>254</v>
      </c>
      <c r="L45" s="138">
        <f>81+110+63</f>
        <v>254</v>
      </c>
      <c r="M45" s="138">
        <f>72+105+66</f>
        <v>243</v>
      </c>
      <c r="N45" s="138">
        <f>77+113+54</f>
        <v>244</v>
      </c>
      <c r="O45" s="138">
        <f>79+110+58</f>
        <v>247</v>
      </c>
      <c r="P45" s="2">
        <f>76+110+59</f>
        <v>245</v>
      </c>
      <c r="Q45" s="2">
        <f>70+115+62</f>
        <v>247</v>
      </c>
      <c r="R45" s="2">
        <f>67+115+63</f>
        <v>245</v>
      </c>
      <c r="S45" s="2">
        <f>76+106+92</f>
        <v>274</v>
      </c>
      <c r="T45" s="140">
        <f t="shared" si="44"/>
        <v>1.6406979152770386E-3</v>
      </c>
      <c r="U45" s="330"/>
      <c r="V45" s="2" t="str">
        <f>A45</f>
        <v>Accrued Expenses</v>
      </c>
      <c r="W45" s="5">
        <f t="shared" si="45"/>
        <v>2.1121323678799851E-2</v>
      </c>
      <c r="X45" s="5">
        <f t="shared" si="45"/>
        <v>4.8698557545492113E-2</v>
      </c>
      <c r="Y45" s="5">
        <f t="shared" si="45"/>
        <v>4.2307126572037945E-2</v>
      </c>
      <c r="Z45" s="5">
        <f t="shared" si="45"/>
        <v>3.4508114023837619E-2</v>
      </c>
      <c r="AA45" s="5">
        <f t="shared" si="45"/>
        <v>2.868862988241944E-2</v>
      </c>
      <c r="AB45" s="5">
        <f t="shared" si="45"/>
        <v>3.0764561652916328E-2</v>
      </c>
      <c r="AC45" s="5">
        <f t="shared" si="45"/>
        <v>2.7514864939165679E-2</v>
      </c>
      <c r="AD45" s="5">
        <f t="shared" si="45"/>
        <v>1.2209029315086871E-2</v>
      </c>
      <c r="AE45" s="5">
        <f t="shared" si="45"/>
        <v>1.3922059765829789E-2</v>
      </c>
      <c r="AF45" s="5">
        <f t="shared" si="45"/>
        <v>1.3392386375619529E-2</v>
      </c>
      <c r="AG45" s="5">
        <f t="shared" si="45"/>
        <v>1.2607961878288493E-2</v>
      </c>
      <c r="AH45" s="5">
        <f t="shared" si="45"/>
        <v>1.1513313749644651E-2</v>
      </c>
      <c r="AI45" s="5">
        <f t="shared" si="45"/>
        <v>1.1229749631811487E-2</v>
      </c>
      <c r="AJ45" s="5">
        <f t="shared" si="45"/>
        <v>1.1404035274020037E-2</v>
      </c>
      <c r="AK45" s="5">
        <f t="shared" si="45"/>
        <v>1.1033551002026571E-2</v>
      </c>
      <c r="AL45" s="5">
        <f t="shared" si="46"/>
        <v>1.1043054499932937E-2</v>
      </c>
      <c r="AM45" s="5">
        <f t="shared" si="46"/>
        <v>1.0940430472447978E-2</v>
      </c>
      <c r="AN45" s="5">
        <f t="shared" si="46"/>
        <v>1.2321805999010657E-2</v>
      </c>
      <c r="AO45" s="5">
        <f t="shared" si="47"/>
        <v>1.1189800622247241E-2</v>
      </c>
    </row>
    <row r="46" spans="1:43" x14ac:dyDescent="0.2">
      <c r="A46" s="138" t="s">
        <v>166</v>
      </c>
      <c r="B46" s="138"/>
      <c r="C46" s="138"/>
      <c r="D46" s="138"/>
      <c r="E46" s="138"/>
      <c r="F46" s="138"/>
      <c r="G46" s="138"/>
      <c r="H46" s="138"/>
      <c r="I46" s="138">
        <v>117</v>
      </c>
      <c r="J46" s="138">
        <v>130</v>
      </c>
      <c r="K46" s="138">
        <v>85</v>
      </c>
      <c r="L46" s="138">
        <v>84</v>
      </c>
      <c r="M46" s="138">
        <v>90</v>
      </c>
      <c r="N46" s="138">
        <v>49</v>
      </c>
      <c r="O46" s="138">
        <v>27</v>
      </c>
      <c r="P46" s="138">
        <v>0</v>
      </c>
      <c r="Q46" s="138">
        <v>0</v>
      </c>
      <c r="R46" s="138">
        <v>0</v>
      </c>
      <c r="S46" s="138">
        <v>0</v>
      </c>
      <c r="T46" s="140">
        <f t="shared" si="44"/>
        <v>-0.99999940914518248</v>
      </c>
      <c r="U46" s="330"/>
      <c r="V46" s="2" t="str">
        <f t="shared" si="2"/>
        <v>Derivative Contacts</v>
      </c>
      <c r="W46" s="5"/>
      <c r="X46" s="5"/>
      <c r="Y46" s="5"/>
      <c r="Z46" s="5"/>
      <c r="AA46" s="5">
        <f t="shared" ref="AA46:AJ48" si="48">F46/F$38</f>
        <v>0</v>
      </c>
      <c r="AB46" s="5">
        <f t="shared" si="48"/>
        <v>0</v>
      </c>
      <c r="AC46" s="5">
        <f t="shared" si="48"/>
        <v>0</v>
      </c>
      <c r="AD46" s="5">
        <f t="shared" si="48"/>
        <v>7.8486617025558467E-3</v>
      </c>
      <c r="AE46" s="5">
        <f t="shared" si="48"/>
        <v>7.5726684918739438E-3</v>
      </c>
      <c r="AF46" s="5">
        <f t="shared" si="48"/>
        <v>4.4817041020774016E-3</v>
      </c>
      <c r="AG46" s="5">
        <f t="shared" si="48"/>
        <v>4.1695621959694229E-3</v>
      </c>
      <c r="AH46" s="5">
        <f t="shared" si="48"/>
        <v>4.2641902776461666E-3</v>
      </c>
      <c r="AI46" s="5">
        <f t="shared" si="48"/>
        <v>2.2551546391752575E-3</v>
      </c>
      <c r="AJ46" s="5">
        <f t="shared" si="48"/>
        <v>1.2465949489819475E-3</v>
      </c>
      <c r="AK46" s="5"/>
      <c r="AL46" s="5"/>
      <c r="AM46" s="5"/>
      <c r="AN46" s="5"/>
      <c r="AO46" s="5">
        <f t="shared" si="47"/>
        <v>1.2627511239245697E-3</v>
      </c>
    </row>
    <row r="47" spans="1:43" x14ac:dyDescent="0.2">
      <c r="A47" s="138" t="s">
        <v>61</v>
      </c>
      <c r="B47" s="142">
        <v>103</v>
      </c>
      <c r="C47" s="142">
        <v>157.4</v>
      </c>
      <c r="D47" s="142">
        <v>142</v>
      </c>
      <c r="E47" s="142">
        <v>127.3</v>
      </c>
      <c r="F47" s="142">
        <v>111.8</v>
      </c>
      <c r="G47" s="142">
        <v>123.4</v>
      </c>
      <c r="H47" s="143">
        <v>103.2</v>
      </c>
      <c r="I47" s="143">
        <v>149</v>
      </c>
      <c r="J47" s="143">
        <v>111</v>
      </c>
      <c r="K47" s="143">
        <v>105</v>
      </c>
      <c r="L47" s="143">
        <v>121</v>
      </c>
      <c r="M47" s="143">
        <v>192</v>
      </c>
      <c r="N47" s="143">
        <f>48+62+147</f>
        <v>257</v>
      </c>
      <c r="O47" s="143">
        <f>22+55+208-O46</f>
        <v>258</v>
      </c>
      <c r="P47" s="2">
        <f>34+222</f>
        <v>256</v>
      </c>
      <c r="Q47" s="2">
        <f>34+229</f>
        <v>263</v>
      </c>
      <c r="R47" s="2">
        <f>54+164</f>
        <v>218</v>
      </c>
      <c r="S47" s="2">
        <f>80+39+173</f>
        <v>292</v>
      </c>
      <c r="T47" s="140">
        <f t="shared" si="44"/>
        <v>2.5725265172694762E-2</v>
      </c>
      <c r="U47" s="330"/>
      <c r="V47" s="2" t="str">
        <f t="shared" si="2"/>
        <v xml:space="preserve">Other </v>
      </c>
      <c r="W47" s="6">
        <f t="shared" ref="W47:Z48" si="49">B47/B$38</f>
        <v>8.3705130393089047E-3</v>
      </c>
      <c r="X47" s="6">
        <f t="shared" si="49"/>
        <v>1.4137131976503981E-2</v>
      </c>
      <c r="Y47" s="6">
        <f t="shared" si="49"/>
        <v>1.3054350224314186E-2</v>
      </c>
      <c r="Z47" s="6">
        <f t="shared" si="49"/>
        <v>1.0884249046666326E-2</v>
      </c>
      <c r="AA47" s="6">
        <f t="shared" si="48"/>
        <v>9.5742949876253536E-3</v>
      </c>
      <c r="AB47" s="6">
        <f t="shared" si="48"/>
        <v>9.8555215679384089E-3</v>
      </c>
      <c r="AC47" s="102">
        <f t="shared" si="48"/>
        <v>8.1060064565284008E-3</v>
      </c>
      <c r="AD47" s="102">
        <f t="shared" si="48"/>
        <v>9.9953042194941971E-3</v>
      </c>
      <c r="AE47" s="102">
        <f t="shared" si="48"/>
        <v>6.4658938661385215E-3</v>
      </c>
      <c r="AF47" s="102">
        <f t="shared" si="48"/>
        <v>5.5362227143309082E-3</v>
      </c>
      <c r="AG47" s="102">
        <f t="shared" si="48"/>
        <v>6.0061550680035741E-3</v>
      </c>
      <c r="AH47" s="102">
        <f t="shared" si="48"/>
        <v>9.0969392589784898E-3</v>
      </c>
      <c r="AI47" s="102">
        <f t="shared" si="48"/>
        <v>1.1828055964653902E-2</v>
      </c>
      <c r="AJ47" s="102">
        <f t="shared" si="48"/>
        <v>1.1911907290271943E-2</v>
      </c>
      <c r="AK47" s="102">
        <f>P47/P$38</f>
        <v>1.1528934924566539E-2</v>
      </c>
      <c r="AL47" s="102">
        <f t="shared" ref="AL47:AN48" si="50">Q47/Q$38</f>
        <v>1.1758394062681629E-2</v>
      </c>
      <c r="AM47" s="102">
        <f t="shared" si="50"/>
        <v>9.7347503795659554E-3</v>
      </c>
      <c r="AN47" s="102">
        <f t="shared" si="50"/>
        <v>1.3131267706974861E-2</v>
      </c>
      <c r="AO47" s="5">
        <f t="shared" si="47"/>
        <v>1.0984413391247462E-2</v>
      </c>
    </row>
    <row r="48" spans="1:43" x14ac:dyDescent="0.2">
      <c r="A48" s="163" t="s">
        <v>33</v>
      </c>
      <c r="B48" s="163">
        <f t="shared" ref="B48:L48" si="51">SUM(B41:B47)</f>
        <v>1096.2</v>
      </c>
      <c r="C48" s="163">
        <f t="shared" si="51"/>
        <v>1601.2</v>
      </c>
      <c r="D48" s="163">
        <f t="shared" si="51"/>
        <v>1216.9000000000001</v>
      </c>
      <c r="E48" s="163">
        <f t="shared" si="51"/>
        <v>936</v>
      </c>
      <c r="F48" s="163">
        <f t="shared" si="51"/>
        <v>1074.3</v>
      </c>
      <c r="G48" s="163">
        <f t="shared" si="51"/>
        <v>1597.7</v>
      </c>
      <c r="H48" s="163">
        <f t="shared" si="51"/>
        <v>1216.1000000000001</v>
      </c>
      <c r="I48" s="163">
        <f t="shared" si="51"/>
        <v>1313</v>
      </c>
      <c r="J48" s="163">
        <f t="shared" si="51"/>
        <v>1466</v>
      </c>
      <c r="K48" s="163">
        <f t="shared" si="51"/>
        <v>1013</v>
      </c>
      <c r="L48" s="163">
        <f t="shared" si="51"/>
        <v>1562</v>
      </c>
      <c r="M48" s="163">
        <f t="shared" ref="M48:R48" si="52">SUM(M41:M47)</f>
        <v>1814</v>
      </c>
      <c r="N48" s="163">
        <f t="shared" si="52"/>
        <v>1284</v>
      </c>
      <c r="O48" s="163">
        <f t="shared" si="52"/>
        <v>1274</v>
      </c>
      <c r="P48" s="190">
        <f t="shared" si="52"/>
        <v>1120</v>
      </c>
      <c r="Q48" s="190">
        <f t="shared" ref="Q48" si="53">SUM(Q41:Q47)</f>
        <v>1071</v>
      </c>
      <c r="R48" s="190">
        <f t="shared" si="52"/>
        <v>1199</v>
      </c>
      <c r="S48" s="190">
        <f>SUM(S41:S47)</f>
        <v>1038</v>
      </c>
      <c r="T48" s="284">
        <f>RATE(5,,-M48,R48)</f>
        <v>-7.9473320596653421E-2</v>
      </c>
      <c r="U48" s="330"/>
      <c r="V48" s="172" t="str">
        <f t="shared" si="2"/>
        <v>Total Current Liabilities</v>
      </c>
      <c r="W48" s="179">
        <f t="shared" si="49"/>
        <v>8.9085013530974963E-2</v>
      </c>
      <c r="X48" s="179">
        <f t="shared" si="49"/>
        <v>0.14381433113582068</v>
      </c>
      <c r="Y48" s="179">
        <f t="shared" si="49"/>
        <v>0.11187210414061925</v>
      </c>
      <c r="Z48" s="179">
        <f t="shared" si="49"/>
        <v>8.0028728261427179E-2</v>
      </c>
      <c r="AA48" s="179">
        <f t="shared" si="48"/>
        <v>9.2000582336367764E-2</v>
      </c>
      <c r="AB48" s="179">
        <f t="shared" si="48"/>
        <v>0.12760264837192217</v>
      </c>
      <c r="AC48" s="179">
        <f t="shared" si="48"/>
        <v>9.552048887387779E-2</v>
      </c>
      <c r="AD48" s="179">
        <f t="shared" si="48"/>
        <v>8.8079425773126718E-2</v>
      </c>
      <c r="AE48" s="179">
        <f t="shared" si="48"/>
        <v>8.5396400069901554E-2</v>
      </c>
      <c r="AF48" s="179">
        <f t="shared" si="48"/>
        <v>5.341136771064009E-2</v>
      </c>
      <c r="AG48" s="179">
        <f t="shared" si="48"/>
        <v>7.7534001786955228E-2</v>
      </c>
      <c r="AH48" s="179">
        <f t="shared" si="48"/>
        <v>8.5947124040557182E-2</v>
      </c>
      <c r="AI48" s="179">
        <f t="shared" si="48"/>
        <v>5.9094256259204711E-2</v>
      </c>
      <c r="AJ48" s="179">
        <f t="shared" si="48"/>
        <v>5.8820813518629667E-2</v>
      </c>
      <c r="AK48" s="179">
        <f>P48/P$38</f>
        <v>5.043909029497861E-2</v>
      </c>
      <c r="AL48" s="179">
        <f t="shared" si="50"/>
        <v>4.7883041981490591E-2</v>
      </c>
      <c r="AM48" s="179">
        <f t="shared" si="50"/>
        <v>5.3541127087612751E-2</v>
      </c>
      <c r="AN48" s="179">
        <f t="shared" si="50"/>
        <v>4.6678958492602417E-2</v>
      </c>
      <c r="AO48" s="289">
        <f>SUM(M48:R48)/SUM(M$38:R$38)</f>
        <v>5.904502544519584E-2</v>
      </c>
      <c r="AP48" s="172"/>
    </row>
    <row r="49" spans="1:41" ht="7.5" customHeight="1" x14ac:dyDescent="0.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T49" s="140"/>
      <c r="U49" s="330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x14ac:dyDescent="0.2">
      <c r="A50" s="163" t="s">
        <v>57</v>
      </c>
      <c r="B50" s="163">
        <f>4221.5+340.9</f>
        <v>4562.3999999999996</v>
      </c>
      <c r="C50" s="163">
        <v>2906.9</v>
      </c>
      <c r="D50" s="163">
        <v>3553.8</v>
      </c>
      <c r="E50" s="163">
        <v>3417.6</v>
      </c>
      <c r="F50" s="163">
        <v>3520.2</v>
      </c>
      <c r="G50" s="163">
        <v>3629</v>
      </c>
      <c r="H50" s="163">
        <v>3721</v>
      </c>
      <c r="I50" s="163">
        <v>4753</v>
      </c>
      <c r="J50" s="163">
        <v>5424</v>
      </c>
      <c r="K50" s="163">
        <v>6400</v>
      </c>
      <c r="L50" s="163">
        <v>5813</v>
      </c>
      <c r="M50" s="163">
        <v>6194</v>
      </c>
      <c r="N50" s="163">
        <v>6594</v>
      </c>
      <c r="O50" s="163">
        <v>6639</v>
      </c>
      <c r="P50" s="172">
        <v>6885</v>
      </c>
      <c r="Q50" s="172">
        <v>7078</v>
      </c>
      <c r="R50" s="172">
        <v>7021</v>
      </c>
      <c r="S50" s="172">
        <v>6934</v>
      </c>
      <c r="T50" s="164">
        <f>RATE(5,,-M50,R50)</f>
        <v>2.5381681323057247E-2</v>
      </c>
      <c r="U50" s="330"/>
      <c r="V50" s="172" t="str">
        <f t="shared" si="2"/>
        <v>Long-Term Debt</v>
      </c>
      <c r="W50" s="179">
        <f t="shared" ref="W50:AK51" si="54">B50/B$38</f>
        <v>0.37077309408294118</v>
      </c>
      <c r="X50" s="179">
        <f t="shared" si="54"/>
        <v>0.26108785859275363</v>
      </c>
      <c r="Y50" s="179">
        <f t="shared" si="54"/>
        <v>0.32670809737442086</v>
      </c>
      <c r="Z50" s="179">
        <f t="shared" si="54"/>
        <v>0.29220745908787771</v>
      </c>
      <c r="AA50" s="179">
        <f t="shared" si="54"/>
        <v>0.30146183555848627</v>
      </c>
      <c r="AB50" s="179">
        <f t="shared" si="54"/>
        <v>0.28983539521919355</v>
      </c>
      <c r="AC50" s="179">
        <f t="shared" si="54"/>
        <v>0.2922718025653312</v>
      </c>
      <c r="AD50" s="179">
        <f t="shared" si="54"/>
        <v>0.31884349634399944</v>
      </c>
      <c r="AE50" s="179">
        <f t="shared" si="54"/>
        <v>0.31595502999941749</v>
      </c>
      <c r="AF50" s="179">
        <f t="shared" si="54"/>
        <v>0.33744595592112203</v>
      </c>
      <c r="AG50" s="179">
        <f t="shared" si="54"/>
        <v>0.28854363149012213</v>
      </c>
      <c r="AH50" s="179">
        <f t="shared" si="54"/>
        <v>0.293471050886004</v>
      </c>
      <c r="AI50" s="179">
        <f t="shared" si="54"/>
        <v>0.30347938144329895</v>
      </c>
      <c r="AJ50" s="179">
        <f t="shared" si="54"/>
        <v>0.30652384689967221</v>
      </c>
      <c r="AK50" s="179">
        <f t="shared" si="54"/>
        <v>0.31006530060797116</v>
      </c>
      <c r="AL50" s="179">
        <f t="shared" ref="AL50:AN51" si="55">Q50/Q$38</f>
        <v>0.31644833907095277</v>
      </c>
      <c r="AM50" s="179">
        <f t="shared" si="55"/>
        <v>0.31352147896758059</v>
      </c>
      <c r="AN50" s="179">
        <f t="shared" si="55"/>
        <v>0.31182263794576609</v>
      </c>
      <c r="AO50" s="179">
        <f>SUM(M50:R50)/SUM(M$38:R$38)</f>
        <v>0.30740382933081795</v>
      </c>
    </row>
    <row r="51" spans="1:41" x14ac:dyDescent="0.2">
      <c r="A51" s="138" t="s">
        <v>11</v>
      </c>
      <c r="B51" s="138">
        <v>1642.2</v>
      </c>
      <c r="C51" s="138">
        <v>1645</v>
      </c>
      <c r="D51" s="138">
        <v>1434.8</v>
      </c>
      <c r="E51" s="138">
        <v>1511.1</v>
      </c>
      <c r="F51" s="138">
        <v>1564.6</v>
      </c>
      <c r="G51" s="138">
        <v>1629</v>
      </c>
      <c r="H51" s="138">
        <v>1621.2</v>
      </c>
      <c r="I51" s="138">
        <v>1701</v>
      </c>
      <c r="J51" s="138">
        <v>2025</v>
      </c>
      <c r="K51" s="138">
        <v>2625</v>
      </c>
      <c r="L51" s="138">
        <v>3448</v>
      </c>
      <c r="M51" s="138">
        <v>3863</v>
      </c>
      <c r="N51" s="138">
        <v>4168</v>
      </c>
      <c r="O51" s="138">
        <v>4359</v>
      </c>
      <c r="P51" s="2">
        <v>4581</v>
      </c>
      <c r="Q51" s="2">
        <v>4750</v>
      </c>
      <c r="R51" s="2">
        <v>4880</v>
      </c>
      <c r="S51" s="2">
        <v>4870</v>
      </c>
      <c r="T51" s="140">
        <f t="shared" ref="T51:T53" si="56">RATE(5,,-M51,R51)</f>
        <v>4.7849770890133037E-2</v>
      </c>
      <c r="U51" s="330"/>
      <c r="V51" s="2" t="str">
        <f t="shared" si="2"/>
        <v>Deferred Income Taxes</v>
      </c>
      <c r="W51" s="5">
        <f t="shared" si="54"/>
        <v>0.13345685935100079</v>
      </c>
      <c r="X51" s="5">
        <f t="shared" si="54"/>
        <v>0.14774829797553396</v>
      </c>
      <c r="Y51" s="5">
        <f t="shared" si="54"/>
        <v>0.13190409649187321</v>
      </c>
      <c r="Z51" s="5">
        <f t="shared" si="54"/>
        <v>0.12920022572205406</v>
      </c>
      <c r="AA51" s="5">
        <f t="shared" si="54"/>
        <v>0.13398874720607001</v>
      </c>
      <c r="AB51" s="5">
        <f t="shared" si="54"/>
        <v>0.13010246867237982</v>
      </c>
      <c r="AC51" s="5">
        <f t="shared" si="54"/>
        <v>0.12733970607871942</v>
      </c>
      <c r="AD51" s="5">
        <f t="shared" si="54"/>
        <v>0.11410746629100423</v>
      </c>
      <c r="AE51" s="5">
        <f t="shared" si="54"/>
        <v>0.11795887458495952</v>
      </c>
      <c r="AF51" s="5">
        <f t="shared" si="54"/>
        <v>0.13840556785827271</v>
      </c>
      <c r="AG51" s="5">
        <f t="shared" si="54"/>
        <v>0.1711506006155068</v>
      </c>
      <c r="AH51" s="5">
        <f t="shared" si="54"/>
        <v>0.18302852269496825</v>
      </c>
      <c r="AI51" s="5">
        <f t="shared" si="54"/>
        <v>0.19182621502209132</v>
      </c>
      <c r="AJ51" s="5">
        <f t="shared" si="54"/>
        <v>0.20125582898564107</v>
      </c>
      <c r="AK51" s="5">
        <f t="shared" si="54"/>
        <v>0.20630488628687232</v>
      </c>
      <c r="AL51" s="5">
        <f t="shared" si="55"/>
        <v>0.21236643269101801</v>
      </c>
      <c r="AM51" s="5">
        <f t="shared" si="55"/>
        <v>0.21791551308386176</v>
      </c>
      <c r="AN51" s="5">
        <f t="shared" si="55"/>
        <v>0.21900436209920404</v>
      </c>
      <c r="AO51" s="5">
        <f t="shared" ref="AO51:AO53" si="57">SUM(M51:R51)/SUM(M$38:R$38)</f>
        <v>0.20235206414167156</v>
      </c>
    </row>
    <row r="52" spans="1:41" x14ac:dyDescent="0.2">
      <c r="A52" s="138" t="s">
        <v>167</v>
      </c>
      <c r="B52" s="138"/>
      <c r="C52" s="138"/>
      <c r="D52" s="138"/>
      <c r="E52" s="138"/>
      <c r="F52" s="138"/>
      <c r="G52" s="138"/>
      <c r="H52" s="138"/>
      <c r="I52" s="138">
        <v>497</v>
      </c>
      <c r="J52" s="138">
        <v>490</v>
      </c>
      <c r="K52" s="138">
        <v>410</v>
      </c>
      <c r="L52" s="138">
        <v>399</v>
      </c>
      <c r="M52" s="138">
        <v>66</v>
      </c>
      <c r="N52" s="138">
        <v>26</v>
      </c>
      <c r="O52" s="138">
        <v>26</v>
      </c>
      <c r="P52" s="138">
        <v>0</v>
      </c>
      <c r="Q52" s="138">
        <v>0</v>
      </c>
      <c r="R52" s="138">
        <v>0</v>
      </c>
      <c r="S52" s="138">
        <v>0</v>
      </c>
      <c r="T52" s="140">
        <f t="shared" si="56"/>
        <v>-0.99999940914518248</v>
      </c>
      <c r="U52" s="330"/>
      <c r="V52" s="2" t="str">
        <f t="shared" si="2"/>
        <v>Derivative Contracts</v>
      </c>
      <c r="W52" s="5"/>
      <c r="X52" s="5"/>
      <c r="Y52" s="5"/>
      <c r="Z52" s="5"/>
      <c r="AA52" s="5">
        <f t="shared" ref="AA52:AJ54" si="58">F52/F$38</f>
        <v>0</v>
      </c>
      <c r="AB52" s="5">
        <f t="shared" si="58"/>
        <v>0</v>
      </c>
      <c r="AC52" s="5">
        <f t="shared" si="58"/>
        <v>0</v>
      </c>
      <c r="AD52" s="5">
        <f t="shared" si="58"/>
        <v>3.3340041591198764E-2</v>
      </c>
      <c r="AE52" s="5">
        <f t="shared" si="58"/>
        <v>2.8543135084755637E-2</v>
      </c>
      <c r="AF52" s="5">
        <f t="shared" si="58"/>
        <v>2.1617631551196878E-2</v>
      </c>
      <c r="AG52" s="5">
        <f t="shared" si="58"/>
        <v>1.9805420430854759E-2</v>
      </c>
      <c r="AH52" s="5">
        <f t="shared" si="58"/>
        <v>3.1270728702738559E-3</v>
      </c>
      <c r="AI52" s="5">
        <f t="shared" si="58"/>
        <v>1.1966126656848307E-3</v>
      </c>
      <c r="AJ52" s="5">
        <f t="shared" si="58"/>
        <v>1.2004247656863198E-3</v>
      </c>
      <c r="AK52" s="5"/>
      <c r="AL52" s="5"/>
      <c r="AM52" s="5"/>
      <c r="AN52" s="5"/>
      <c r="AO52" s="5">
        <f t="shared" si="57"/>
        <v>8.9761826881385072E-4</v>
      </c>
    </row>
    <row r="53" spans="1:41" ht="12.75" customHeight="1" x14ac:dyDescent="0.2">
      <c r="A53" s="138" t="s">
        <v>171</v>
      </c>
      <c r="B53" s="141">
        <f>115.2+101.6+691.1</f>
        <v>907.90000000000009</v>
      </c>
      <c r="C53" s="141">
        <f>107.2+256+645.4</f>
        <v>1008.5999999999999</v>
      </c>
      <c r="D53" s="141">
        <f>99.3+219.7+560.5+443.7</f>
        <v>1323.2</v>
      </c>
      <c r="E53" s="141">
        <f>801.9+91.4+643.5+650.1</f>
        <v>2186.9</v>
      </c>
      <c r="F53" s="141">
        <f>3706.3-1564.6</f>
        <v>2141.7000000000003</v>
      </c>
      <c r="G53" s="141">
        <f>3868.3-1629</f>
        <v>2239.3000000000002</v>
      </c>
      <c r="H53" s="141">
        <f>3701.1-H51</f>
        <v>2079.8999999999996</v>
      </c>
      <c r="I53" s="141">
        <f>799+764</f>
        <v>1563</v>
      </c>
      <c r="J53" s="141">
        <f>821+874</f>
        <v>1695</v>
      </c>
      <c r="K53" s="141">
        <f>838+948</f>
        <v>1786</v>
      </c>
      <c r="L53" s="143">
        <f>825+788</f>
        <v>1613</v>
      </c>
      <c r="M53" s="143">
        <f>826+1031</f>
        <v>1857</v>
      </c>
      <c r="N53" s="143">
        <f>1187-26+851</f>
        <v>2012</v>
      </c>
      <c r="O53" s="143">
        <f>879+721-O52</f>
        <v>1574</v>
      </c>
      <c r="P53" s="2">
        <f>910+953</f>
        <v>1863</v>
      </c>
      <c r="Q53" s="2">
        <f>938+1027</f>
        <v>1965</v>
      </c>
      <c r="R53" s="2">
        <f>978+926</f>
        <v>1904</v>
      </c>
      <c r="S53" s="2">
        <f>1017+909</f>
        <v>1926</v>
      </c>
      <c r="T53" s="140">
        <f t="shared" si="56"/>
        <v>5.0114463003078768E-3</v>
      </c>
      <c r="U53" s="144"/>
      <c r="V53" s="2" t="str">
        <f t="shared" si="2"/>
        <v>Other Long-term Liabilities</v>
      </c>
      <c r="W53" s="6">
        <f t="shared" ref="W53:Z54" si="59">B53/B$38</f>
        <v>7.378241542124811E-2</v>
      </c>
      <c r="X53" s="6">
        <f t="shared" si="59"/>
        <v>9.0589017226822832E-2</v>
      </c>
      <c r="Y53" s="6">
        <f t="shared" si="59"/>
        <v>0.12164448040008825</v>
      </c>
      <c r="Z53" s="6">
        <f t="shared" si="59"/>
        <v>0.18698165153302898</v>
      </c>
      <c r="AA53" s="6">
        <f t="shared" si="58"/>
        <v>0.18341026453485887</v>
      </c>
      <c r="AB53" s="6">
        <f t="shared" si="58"/>
        <v>0.17884497120814002</v>
      </c>
      <c r="AC53" s="102">
        <f t="shared" si="58"/>
        <v>0.16336901966020753</v>
      </c>
      <c r="AD53" s="102">
        <f t="shared" si="58"/>
        <v>0.10485007043670759</v>
      </c>
      <c r="AE53" s="102">
        <f t="shared" si="58"/>
        <v>9.8735946874817959E-2</v>
      </c>
      <c r="AF53" s="102">
        <f t="shared" si="58"/>
        <v>9.4168512074238112E-2</v>
      </c>
      <c r="AG53" s="102">
        <f t="shared" si="58"/>
        <v>8.0065521691650945E-2</v>
      </c>
      <c r="AH53" s="102">
        <f t="shared" si="58"/>
        <v>8.7984459395432577E-2</v>
      </c>
      <c r="AI53" s="102">
        <f t="shared" si="58"/>
        <v>9.2599410898379975E-2</v>
      </c>
      <c r="AJ53" s="102">
        <f t="shared" si="58"/>
        <v>7.267186850731798E-2</v>
      </c>
      <c r="AK53" s="102">
        <f>P53/P$38</f>
        <v>8.3900022517451031E-2</v>
      </c>
      <c r="AL53" s="102">
        <f t="shared" ref="AL53:AN54" si="60">Q53/Q$38</f>
        <v>8.7852640050073774E-2</v>
      </c>
      <c r="AM53" s="102">
        <f t="shared" si="60"/>
        <v>8.5022773957309991E-2</v>
      </c>
      <c r="AN53" s="102">
        <f t="shared" si="60"/>
        <v>8.6612402752169804E-2</v>
      </c>
      <c r="AO53" s="5">
        <f t="shared" si="57"/>
        <v>8.5007492830464257E-2</v>
      </c>
    </row>
    <row r="54" spans="1:41" x14ac:dyDescent="0.2">
      <c r="A54" s="189" t="s">
        <v>58</v>
      </c>
      <c r="B54" s="190">
        <f t="shared" ref="B54:L54" si="61">SUM(B50:B53)</f>
        <v>7112.5</v>
      </c>
      <c r="C54" s="190">
        <f t="shared" si="61"/>
        <v>5560.5</v>
      </c>
      <c r="D54" s="190">
        <f t="shared" si="61"/>
        <v>6311.8</v>
      </c>
      <c r="E54" s="190">
        <f t="shared" si="61"/>
        <v>7115.6</v>
      </c>
      <c r="F54" s="190">
        <f t="shared" si="61"/>
        <v>7226.5</v>
      </c>
      <c r="G54" s="190">
        <f t="shared" si="61"/>
        <v>7497.3</v>
      </c>
      <c r="H54" s="190">
        <f t="shared" si="61"/>
        <v>7422.0999999999995</v>
      </c>
      <c r="I54" s="190">
        <f t="shared" si="61"/>
        <v>8514</v>
      </c>
      <c r="J54" s="190">
        <f t="shared" si="61"/>
        <v>9634</v>
      </c>
      <c r="K54" s="190">
        <f t="shared" si="61"/>
        <v>11221</v>
      </c>
      <c r="L54" s="190">
        <f t="shared" si="61"/>
        <v>11273</v>
      </c>
      <c r="M54" s="190">
        <f t="shared" ref="M54:R54" si="62">SUM(M50:M53)</f>
        <v>11980</v>
      </c>
      <c r="N54" s="190">
        <f t="shared" si="62"/>
        <v>12800</v>
      </c>
      <c r="O54" s="190">
        <f t="shared" si="62"/>
        <v>12598</v>
      </c>
      <c r="P54" s="190">
        <f t="shared" si="62"/>
        <v>13329</v>
      </c>
      <c r="Q54" s="190">
        <f t="shared" ref="Q54" si="63">SUM(Q50:Q53)</f>
        <v>13793</v>
      </c>
      <c r="R54" s="190">
        <f t="shared" si="62"/>
        <v>13805</v>
      </c>
      <c r="S54" s="190">
        <f>SUM(S50:S53)</f>
        <v>13730</v>
      </c>
      <c r="T54" s="284">
        <f>RATE(5,,-M54,R54)</f>
        <v>2.8764379484297206E-2</v>
      </c>
      <c r="U54" s="141"/>
      <c r="V54" s="172" t="str">
        <f t="shared" si="2"/>
        <v>Total LTD &amp; Deferrals</v>
      </c>
      <c r="W54" s="179">
        <f t="shared" si="59"/>
        <v>0.57801236885519014</v>
      </c>
      <c r="X54" s="179">
        <f t="shared" si="59"/>
        <v>0.49942517379511042</v>
      </c>
      <c r="Y54" s="179">
        <f t="shared" si="59"/>
        <v>0.58025667426638228</v>
      </c>
      <c r="Z54" s="179">
        <f t="shared" si="59"/>
        <v>0.60838933634296077</v>
      </c>
      <c r="AA54" s="179">
        <f t="shared" si="58"/>
        <v>0.61886084729941515</v>
      </c>
      <c r="AB54" s="179">
        <f t="shared" si="58"/>
        <v>0.59878283509971342</v>
      </c>
      <c r="AC54" s="179">
        <f t="shared" si="58"/>
        <v>0.58298052830425806</v>
      </c>
      <c r="AD54" s="179">
        <f t="shared" si="58"/>
        <v>0.57114107466291009</v>
      </c>
      <c r="AE54" s="179">
        <f t="shared" si="58"/>
        <v>0.56119298654395056</v>
      </c>
      <c r="AF54" s="179">
        <f t="shared" si="58"/>
        <v>0.5916376674048297</v>
      </c>
      <c r="AG54" s="179">
        <f t="shared" si="58"/>
        <v>0.55956517422813457</v>
      </c>
      <c r="AH54" s="179">
        <f t="shared" si="58"/>
        <v>0.56761110584667862</v>
      </c>
      <c r="AI54" s="179">
        <f t="shared" si="58"/>
        <v>0.5891016200294551</v>
      </c>
      <c r="AJ54" s="179">
        <f t="shared" si="58"/>
        <v>0.58165196915831752</v>
      </c>
      <c r="AK54" s="179">
        <f>P54/P$38</f>
        <v>0.60027020941229448</v>
      </c>
      <c r="AL54" s="179">
        <f t="shared" si="60"/>
        <v>0.61666741181204454</v>
      </c>
      <c r="AM54" s="179">
        <f t="shared" si="60"/>
        <v>0.6164597660087523</v>
      </c>
      <c r="AN54" s="179">
        <f t="shared" si="60"/>
        <v>0.61743940279713994</v>
      </c>
      <c r="AO54" s="289">
        <f>SUM(M54:R54)/SUM(M$38:R$38)</f>
        <v>0.59566100457176763</v>
      </c>
    </row>
    <row r="55" spans="1:41" ht="7.5" customHeight="1" x14ac:dyDescent="0.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T55" s="140"/>
      <c r="U55" s="330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x14ac:dyDescent="0.2">
      <c r="A56" s="163" t="s">
        <v>34</v>
      </c>
      <c r="B56" s="163">
        <f t="shared" ref="B56:G56" si="64">B54+B48</f>
        <v>8208.7000000000007</v>
      </c>
      <c r="C56" s="163">
        <f t="shared" si="64"/>
        <v>7161.7</v>
      </c>
      <c r="D56" s="163">
        <f t="shared" si="64"/>
        <v>7528.7000000000007</v>
      </c>
      <c r="E56" s="163">
        <f t="shared" si="64"/>
        <v>8051.6</v>
      </c>
      <c r="F56" s="163">
        <f t="shared" si="64"/>
        <v>8300.7999999999993</v>
      </c>
      <c r="G56" s="163">
        <f t="shared" si="64"/>
        <v>9095</v>
      </c>
      <c r="H56" s="163">
        <f t="shared" ref="H56:R56" si="65">H54+H48</f>
        <v>8638.1999999999989</v>
      </c>
      <c r="I56" s="163">
        <f t="shared" si="65"/>
        <v>9827</v>
      </c>
      <c r="J56" s="163">
        <f t="shared" si="65"/>
        <v>11100</v>
      </c>
      <c r="K56" s="163">
        <f t="shared" si="65"/>
        <v>12234</v>
      </c>
      <c r="L56" s="163">
        <f t="shared" si="65"/>
        <v>12835</v>
      </c>
      <c r="M56" s="163">
        <f t="shared" si="65"/>
        <v>13794</v>
      </c>
      <c r="N56" s="163">
        <f t="shared" si="65"/>
        <v>14084</v>
      </c>
      <c r="O56" s="163">
        <f t="shared" si="65"/>
        <v>13872</v>
      </c>
      <c r="P56" s="163">
        <f t="shared" si="65"/>
        <v>14449</v>
      </c>
      <c r="Q56" s="163">
        <f t="shared" ref="Q56" si="66">Q54+Q48</f>
        <v>14864</v>
      </c>
      <c r="R56" s="163">
        <f t="shared" si="65"/>
        <v>15004</v>
      </c>
      <c r="S56" s="163">
        <f>S54+S48</f>
        <v>14768</v>
      </c>
      <c r="T56" s="164">
        <f>RATE(5,,-M56,R56)</f>
        <v>1.6958818817865384E-2</v>
      </c>
      <c r="U56" s="330"/>
      <c r="V56" s="172" t="str">
        <f t="shared" si="2"/>
        <v>Total Liabilities</v>
      </c>
      <c r="W56" s="179">
        <f t="shared" ref="W56:AK56" si="67">B56/B$38</f>
        <v>0.66709738238616512</v>
      </c>
      <c r="X56" s="179">
        <f t="shared" si="67"/>
        <v>0.64323950493093107</v>
      </c>
      <c r="Y56" s="179">
        <f t="shared" si="67"/>
        <v>0.6921287784070016</v>
      </c>
      <c r="Z56" s="179">
        <f t="shared" si="67"/>
        <v>0.68841806460438792</v>
      </c>
      <c r="AA56" s="179">
        <f t="shared" si="67"/>
        <v>0.71086142963578292</v>
      </c>
      <c r="AB56" s="179">
        <f t="shared" si="67"/>
        <v>0.72638548347163556</v>
      </c>
      <c r="AC56" s="179">
        <f t="shared" si="67"/>
        <v>0.67850101717813582</v>
      </c>
      <c r="AD56" s="179">
        <f t="shared" si="67"/>
        <v>0.65922050043603675</v>
      </c>
      <c r="AE56" s="179">
        <f t="shared" si="67"/>
        <v>0.64658938661385212</v>
      </c>
      <c r="AF56" s="179">
        <f t="shared" si="67"/>
        <v>0.64504903511546974</v>
      </c>
      <c r="AG56" s="179">
        <f t="shared" si="67"/>
        <v>0.63709917601508981</v>
      </c>
      <c r="AH56" s="179">
        <f t="shared" si="67"/>
        <v>0.65355822988723589</v>
      </c>
      <c r="AI56" s="179">
        <f t="shared" si="67"/>
        <v>0.64819587628865982</v>
      </c>
      <c r="AJ56" s="179">
        <f t="shared" si="67"/>
        <v>0.64047278267694718</v>
      </c>
      <c r="AK56" s="179">
        <f t="shared" si="67"/>
        <v>0.65070929970727309</v>
      </c>
      <c r="AL56" s="179">
        <f t="shared" ref="AL56:AN56" si="68">Q56/Q$38</f>
        <v>0.66455045379353517</v>
      </c>
      <c r="AM56" s="179">
        <f t="shared" si="68"/>
        <v>0.67000089309636512</v>
      </c>
      <c r="AN56" s="179">
        <f t="shared" si="68"/>
        <v>0.66411836128974233</v>
      </c>
      <c r="AO56" s="179">
        <f>SUM(M56:R56)/SUM(M$38:R$38)</f>
        <v>0.65470603001696348</v>
      </c>
    </row>
    <row r="57" spans="1:41" ht="7.5" customHeight="1" x14ac:dyDescent="0.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T57" s="140"/>
      <c r="U57" s="141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x14ac:dyDescent="0.2">
      <c r="A58" s="138" t="s">
        <v>59</v>
      </c>
      <c r="B58" s="138">
        <f>175+41.5</f>
        <v>216.5</v>
      </c>
      <c r="C58" s="138">
        <f>341.2+175+41.5</f>
        <v>557.70000000000005</v>
      </c>
      <c r="D58" s="138">
        <f>341.5+74.2+41.3</f>
        <v>457</v>
      </c>
      <c r="E58" s="138">
        <f>341.8+66.7+41.3</f>
        <v>449.8</v>
      </c>
      <c r="F58" s="138">
        <f>56.3+41.3</f>
        <v>97.6</v>
      </c>
      <c r="G58" s="138">
        <f>48.8+41.3</f>
        <v>90.1</v>
      </c>
      <c r="H58" s="138">
        <f>41.3+41.3</f>
        <v>82.6</v>
      </c>
      <c r="I58" s="138">
        <v>41</v>
      </c>
      <c r="J58" s="138">
        <v>41</v>
      </c>
      <c r="K58" s="138">
        <v>41</v>
      </c>
      <c r="L58" s="138">
        <v>41</v>
      </c>
      <c r="M58" s="138">
        <v>41</v>
      </c>
      <c r="N58" s="138">
        <v>41</v>
      </c>
      <c r="O58" s="138">
        <v>2</v>
      </c>
      <c r="P58" s="2">
        <v>2</v>
      </c>
      <c r="Q58" s="2">
        <v>2</v>
      </c>
      <c r="R58" s="2">
        <v>2</v>
      </c>
      <c r="S58" s="2">
        <v>2</v>
      </c>
      <c r="T58" s="140">
        <f>RATE(5,,-M58,R58)</f>
        <v>-0.45342567414997265</v>
      </c>
      <c r="U58" s="141"/>
      <c r="V58" s="2" t="str">
        <f t="shared" si="2"/>
        <v>Preferred Stock</v>
      </c>
      <c r="W58" s="5">
        <f t="shared" ref="W58:AK58" si="69">B58/B$38</f>
        <v>1.7594330805925998E-2</v>
      </c>
      <c r="X58" s="5">
        <f t="shared" si="69"/>
        <v>5.0090714760459149E-2</v>
      </c>
      <c r="Y58" s="5">
        <f t="shared" si="69"/>
        <v>4.2012944031771714E-2</v>
      </c>
      <c r="Z58" s="5">
        <f t="shared" si="69"/>
        <v>3.8458249970074729E-2</v>
      </c>
      <c r="AA58" s="5">
        <f t="shared" si="69"/>
        <v>8.3582396314153349E-3</v>
      </c>
      <c r="AB58" s="5">
        <f t="shared" si="69"/>
        <v>7.1959683409339595E-3</v>
      </c>
      <c r="AC58" s="5">
        <f t="shared" si="69"/>
        <v>6.4879470281903667E-3</v>
      </c>
      <c r="AD58" s="5">
        <f t="shared" si="69"/>
        <v>2.7503857248272622E-3</v>
      </c>
      <c r="AE58" s="5">
        <f t="shared" si="69"/>
        <v>2.3883031397448594E-3</v>
      </c>
      <c r="AF58" s="5">
        <f t="shared" si="69"/>
        <v>2.1617631551196881E-3</v>
      </c>
      <c r="AG58" s="5">
        <f t="shared" si="69"/>
        <v>2.0351434527945992E-3</v>
      </c>
      <c r="AH58" s="5">
        <f t="shared" si="69"/>
        <v>1.9425755709276983E-3</v>
      </c>
      <c r="AI58" s="5">
        <f t="shared" si="69"/>
        <v>1.8869661266568483E-3</v>
      </c>
      <c r="AJ58" s="5">
        <f t="shared" si="69"/>
        <v>9.2340366591255372E-5</v>
      </c>
      <c r="AK58" s="5">
        <f t="shared" si="69"/>
        <v>9.0069804098176086E-5</v>
      </c>
      <c r="AL58" s="5">
        <f t="shared" ref="AL58:AN58" si="70">Q58/Q$38</f>
        <v>8.941744534358654E-5</v>
      </c>
      <c r="AM58" s="5">
        <f t="shared" si="70"/>
        <v>8.9309636509779408E-5</v>
      </c>
      <c r="AN58" s="5">
        <f t="shared" si="70"/>
        <v>8.9940189773800416E-5</v>
      </c>
      <c r="AO58" s="5">
        <f>SUM(M58:R58)/SUM(M$38:R$38)</f>
        <v>6.8462410333259801E-4</v>
      </c>
    </row>
    <row r="59" spans="1:41" ht="7.5" customHeight="1" x14ac:dyDescent="0.2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T59" s="140"/>
      <c r="U59" s="141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2">
      <c r="A60" s="165" t="s">
        <v>62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T60" s="140"/>
      <c r="U60" s="141"/>
      <c r="V60" s="172" t="str">
        <f t="shared" si="2"/>
        <v>Common Equity:</v>
      </c>
      <c r="AO60" s="5"/>
    </row>
    <row r="61" spans="1:41" x14ac:dyDescent="0.2">
      <c r="A61" s="145" t="s">
        <v>6</v>
      </c>
      <c r="B61" s="138">
        <v>3284.9</v>
      </c>
      <c r="C61" s="138">
        <f>3284.9+0.9</f>
        <v>3285.8</v>
      </c>
      <c r="D61" s="138">
        <f>2742.1+0.7-24</f>
        <v>2718.7999999999997</v>
      </c>
      <c r="E61" s="138">
        <f>2892.1-1.7-1.9</f>
        <v>2888.5</v>
      </c>
      <c r="F61" s="138">
        <f>2892.1+4.5-8</f>
        <v>2888.6</v>
      </c>
      <c r="G61" s="138">
        <f>2894.1+4.3-9</f>
        <v>2889.4</v>
      </c>
      <c r="H61" s="138">
        <f>3381.9+2.7-4.1</f>
        <v>3380.5</v>
      </c>
      <c r="I61" s="138">
        <f>3804-4</f>
        <v>3800</v>
      </c>
      <c r="J61" s="138">
        <f>4254-2+80</f>
        <v>4332</v>
      </c>
      <c r="K61" s="138">
        <f>4379-6+84</f>
        <v>4457</v>
      </c>
      <c r="L61" s="138">
        <f>4479-7</f>
        <v>4472</v>
      </c>
      <c r="M61" s="138">
        <v>4479</v>
      </c>
      <c r="N61" s="138">
        <v>4479</v>
      </c>
      <c r="O61" s="138">
        <v>4479</v>
      </c>
      <c r="P61" s="19">
        <v>4479</v>
      </c>
      <c r="Q61" s="19">
        <v>4479</v>
      </c>
      <c r="R61" s="19">
        <v>4479</v>
      </c>
      <c r="S61" s="19">
        <v>4479</v>
      </c>
      <c r="T61" s="140">
        <f t="shared" ref="T61:T62" si="71">RATE(5,,-M61,R61)</f>
        <v>2.4717049773802689E-16</v>
      </c>
      <c r="U61" s="330"/>
      <c r="V61" s="2" t="str">
        <f t="shared" si="2"/>
        <v>Common Stock</v>
      </c>
      <c r="W61" s="5">
        <f t="shared" ref="W61:AK64" si="72">B61/B$38</f>
        <v>0.26695435226044484</v>
      </c>
      <c r="X61" s="5">
        <f t="shared" si="72"/>
        <v>0.29511936625410917</v>
      </c>
      <c r="Y61" s="5">
        <f t="shared" si="72"/>
        <v>0.24994484077370005</v>
      </c>
      <c r="Z61" s="5">
        <f t="shared" si="72"/>
        <v>0.24696899741787651</v>
      </c>
      <c r="AA61" s="5">
        <f t="shared" si="72"/>
        <v>0.24737306351748295</v>
      </c>
      <c r="AB61" s="5">
        <f t="shared" si="72"/>
        <v>0.23076615898218183</v>
      </c>
      <c r="AC61" s="5">
        <f t="shared" si="72"/>
        <v>0.26552669405323892</v>
      </c>
      <c r="AD61" s="5">
        <f t="shared" si="72"/>
        <v>0.25491379888642918</v>
      </c>
      <c r="AE61" s="5">
        <f t="shared" si="72"/>
        <v>0.25234461466767638</v>
      </c>
      <c r="AF61" s="5">
        <f t="shared" si="72"/>
        <v>0.23499947274069388</v>
      </c>
      <c r="AG61" s="5">
        <f t="shared" si="72"/>
        <v>0.22197954929018168</v>
      </c>
      <c r="AH61" s="5">
        <f t="shared" si="72"/>
        <v>0.21221453615085759</v>
      </c>
      <c r="AI61" s="5">
        <f t="shared" si="72"/>
        <v>0.20613954344624447</v>
      </c>
      <c r="AJ61" s="5">
        <f t="shared" si="72"/>
        <v>0.2067962509811164</v>
      </c>
      <c r="AK61" s="5">
        <f t="shared" si="72"/>
        <v>0.20171132627786534</v>
      </c>
      <c r="AL61" s="5">
        <f t="shared" ref="AL61:AN64" si="73">Q61/Q$38</f>
        <v>0.20025036884696204</v>
      </c>
      <c r="AM61" s="5">
        <f t="shared" si="73"/>
        <v>0.20000893096365097</v>
      </c>
      <c r="AN61" s="5">
        <f t="shared" si="73"/>
        <v>0.20142105499842605</v>
      </c>
      <c r="AO61" s="5">
        <f t="shared" ref="AO61:AO62" si="74">SUM(M61:R61)/SUM(M$38:R$38)</f>
        <v>0.20442875725511375</v>
      </c>
    </row>
    <row r="62" spans="1:41" x14ac:dyDescent="0.2">
      <c r="A62" s="145" t="s">
        <v>27</v>
      </c>
      <c r="B62" s="142">
        <f>622.2-27.2</f>
        <v>595</v>
      </c>
      <c r="C62" s="142">
        <v>128.6</v>
      </c>
      <c r="D62" s="142">
        <v>173.1</v>
      </c>
      <c r="E62" s="142">
        <v>305.89999999999998</v>
      </c>
      <c r="F62" s="142">
        <v>390.1</v>
      </c>
      <c r="G62" s="142">
        <v>446.4</v>
      </c>
      <c r="H62" s="143">
        <v>630</v>
      </c>
      <c r="I62" s="143">
        <v>1239</v>
      </c>
      <c r="J62" s="143">
        <v>1694</v>
      </c>
      <c r="K62" s="143">
        <v>2234</v>
      </c>
      <c r="L62" s="143">
        <v>2798</v>
      </c>
      <c r="M62" s="143">
        <v>2792</v>
      </c>
      <c r="N62" s="143">
        <f>3136-12</f>
        <v>3124</v>
      </c>
      <c r="O62" s="143">
        <f>3315-9</f>
        <v>3306</v>
      </c>
      <c r="P62" s="19">
        <f>3288-13</f>
        <v>3275</v>
      </c>
      <c r="Q62" s="19">
        <f>3033-11</f>
        <v>3022</v>
      </c>
      <c r="R62" s="19">
        <f>2921-12</f>
        <v>2909</v>
      </c>
      <c r="S62" s="19">
        <f>3000-12</f>
        <v>2988</v>
      </c>
      <c r="T62" s="140">
        <f t="shared" si="71"/>
        <v>8.2440353631381327E-3</v>
      </c>
      <c r="U62" s="330"/>
      <c r="V62" s="2" t="str">
        <f t="shared" si="2"/>
        <v>Retained Earnings</v>
      </c>
      <c r="W62" s="6">
        <f t="shared" si="72"/>
        <v>4.8353934547464061E-2</v>
      </c>
      <c r="X62" s="6">
        <f t="shared" si="72"/>
        <v>1.155041405450071E-2</v>
      </c>
      <c r="Y62" s="6">
        <f t="shared" si="72"/>
        <v>1.5913436787526658E-2</v>
      </c>
      <c r="Z62" s="6">
        <f t="shared" si="72"/>
        <v>2.6154688007660871E-2</v>
      </c>
      <c r="AA62" s="6">
        <f t="shared" si="72"/>
        <v>3.3407267215318878E-2</v>
      </c>
      <c r="AB62" s="6">
        <f t="shared" si="72"/>
        <v>3.5652389205248831E-2</v>
      </c>
      <c r="AC62" s="102">
        <f t="shared" si="72"/>
        <v>4.9484341740434999E-2</v>
      </c>
      <c r="AD62" s="102">
        <f t="shared" si="72"/>
        <v>8.3115314952706784E-2</v>
      </c>
      <c r="AE62" s="102">
        <f t="shared" si="72"/>
        <v>9.8677695578726632E-2</v>
      </c>
      <c r="AF62" s="102">
        <f t="shared" si="72"/>
        <v>0.11778972898871665</v>
      </c>
      <c r="AG62" s="102">
        <f t="shared" si="72"/>
        <v>0.13888613124193389</v>
      </c>
      <c r="AH62" s="102">
        <f t="shared" si="72"/>
        <v>0.13228465839097886</v>
      </c>
      <c r="AI62" s="102">
        <f t="shared" si="72"/>
        <v>0.14377761413843887</v>
      </c>
      <c r="AJ62" s="102">
        <f t="shared" si="72"/>
        <v>0.15263862597534511</v>
      </c>
      <c r="AK62" s="102">
        <f t="shared" si="72"/>
        <v>0.14748930421076334</v>
      </c>
      <c r="AL62" s="102">
        <f t="shared" si="73"/>
        <v>0.13510975991415924</v>
      </c>
      <c r="AM62" s="102">
        <f t="shared" si="73"/>
        <v>0.12990086630347414</v>
      </c>
      <c r="AN62" s="102">
        <f t="shared" si="73"/>
        <v>0.13437064352205783</v>
      </c>
      <c r="AO62" s="5">
        <f t="shared" si="74"/>
        <v>0.14018058862459018</v>
      </c>
    </row>
    <row r="63" spans="1:41" x14ac:dyDescent="0.2">
      <c r="A63" s="163" t="s">
        <v>63</v>
      </c>
      <c r="B63" s="185">
        <f t="shared" ref="B63:L63" si="75">SUM(B60:B62)</f>
        <v>3879.9</v>
      </c>
      <c r="C63" s="185">
        <f t="shared" si="75"/>
        <v>3414.4</v>
      </c>
      <c r="D63" s="185">
        <f t="shared" si="75"/>
        <v>2891.8999999999996</v>
      </c>
      <c r="E63" s="185">
        <f t="shared" si="75"/>
        <v>3194.4</v>
      </c>
      <c r="F63" s="185">
        <f t="shared" si="75"/>
        <v>3278.7</v>
      </c>
      <c r="G63" s="185">
        <f t="shared" si="75"/>
        <v>3335.8</v>
      </c>
      <c r="H63" s="189">
        <f t="shared" si="75"/>
        <v>4010.5</v>
      </c>
      <c r="I63" s="189">
        <f t="shared" si="75"/>
        <v>5039</v>
      </c>
      <c r="J63" s="189">
        <f>SUM(J60:J62)</f>
        <v>6026</v>
      </c>
      <c r="K63" s="189">
        <f>SUM(K60:K62)</f>
        <v>6691</v>
      </c>
      <c r="L63" s="189">
        <f t="shared" si="75"/>
        <v>7270</v>
      </c>
      <c r="M63" s="189">
        <f t="shared" ref="M63:R63" si="76">SUM(M60:M62)</f>
        <v>7271</v>
      </c>
      <c r="N63" s="189">
        <f t="shared" si="76"/>
        <v>7603</v>
      </c>
      <c r="O63" s="189">
        <f t="shared" si="76"/>
        <v>7785</v>
      </c>
      <c r="P63" s="186">
        <f t="shared" si="76"/>
        <v>7754</v>
      </c>
      <c r="Q63" s="186">
        <f t="shared" ref="Q63" si="77">SUM(Q60:Q62)</f>
        <v>7501</v>
      </c>
      <c r="R63" s="186">
        <f t="shared" si="76"/>
        <v>7388</v>
      </c>
      <c r="S63" s="186">
        <f>SUM(S60:S62)</f>
        <v>7467</v>
      </c>
      <c r="T63" s="284">
        <f>RATE(5,,-M63,R63)</f>
        <v>3.1977476553034052E-3</v>
      </c>
      <c r="U63" s="330"/>
      <c r="V63" s="172" t="str">
        <f t="shared" si="2"/>
        <v>Total Common Equity</v>
      </c>
      <c r="W63" s="181">
        <f t="shared" si="72"/>
        <v>0.3153082868079089</v>
      </c>
      <c r="X63" s="181">
        <f t="shared" si="72"/>
        <v>0.30666978030860986</v>
      </c>
      <c r="Y63" s="181">
        <f t="shared" si="72"/>
        <v>0.26585827756122671</v>
      </c>
      <c r="Z63" s="181">
        <f t="shared" si="72"/>
        <v>0.27312368542553739</v>
      </c>
      <c r="AA63" s="181">
        <f t="shared" si="72"/>
        <v>0.28078033073280184</v>
      </c>
      <c r="AB63" s="181">
        <f t="shared" si="72"/>
        <v>0.26641854818743066</v>
      </c>
      <c r="AC63" s="182">
        <f t="shared" si="72"/>
        <v>0.3150110357936739</v>
      </c>
      <c r="AD63" s="182">
        <f t="shared" si="72"/>
        <v>0.33802911383913598</v>
      </c>
      <c r="AE63" s="182">
        <f t="shared" si="72"/>
        <v>0.35102231024640296</v>
      </c>
      <c r="AF63" s="182">
        <f t="shared" si="72"/>
        <v>0.35278920172941053</v>
      </c>
      <c r="AG63" s="182">
        <f t="shared" si="72"/>
        <v>0.36086568053211554</v>
      </c>
      <c r="AH63" s="182">
        <f t="shared" si="72"/>
        <v>0.34449919454183642</v>
      </c>
      <c r="AI63" s="182">
        <f t="shared" si="72"/>
        <v>0.34991715758468334</v>
      </c>
      <c r="AJ63" s="182">
        <f t="shared" si="72"/>
        <v>0.35943487695646154</v>
      </c>
      <c r="AK63" s="182">
        <f t="shared" si="72"/>
        <v>0.3492006304886287</v>
      </c>
      <c r="AL63" s="182">
        <f t="shared" si="73"/>
        <v>0.33536012876112131</v>
      </c>
      <c r="AM63" s="182">
        <f t="shared" si="73"/>
        <v>0.3299097972671251</v>
      </c>
      <c r="AN63" s="182">
        <f t="shared" si="73"/>
        <v>0.33579169852048391</v>
      </c>
      <c r="AO63" s="289">
        <f>SUM(M63:R63)/SUM(M$38:R$38)</f>
        <v>0.34460934587970393</v>
      </c>
    </row>
    <row r="64" spans="1:41" ht="13.5" thickBot="1" x14ac:dyDescent="0.25">
      <c r="A64" s="163" t="s">
        <v>35</v>
      </c>
      <c r="B64" s="187">
        <f t="shared" ref="B64:L64" si="78">B63+B56+B58</f>
        <v>12305.1</v>
      </c>
      <c r="C64" s="187">
        <f t="shared" si="78"/>
        <v>11133.800000000001</v>
      </c>
      <c r="D64" s="187">
        <f t="shared" si="78"/>
        <v>10877.6</v>
      </c>
      <c r="E64" s="187">
        <f t="shared" si="78"/>
        <v>11695.8</v>
      </c>
      <c r="F64" s="187">
        <f t="shared" si="78"/>
        <v>11677.1</v>
      </c>
      <c r="G64" s="187">
        <f t="shared" si="78"/>
        <v>12520.9</v>
      </c>
      <c r="H64" s="188">
        <f t="shared" si="78"/>
        <v>12731.3</v>
      </c>
      <c r="I64" s="188">
        <f t="shared" si="78"/>
        <v>14907</v>
      </c>
      <c r="J64" s="188">
        <f>J63+J56+J58</f>
        <v>17167</v>
      </c>
      <c r="K64" s="188">
        <f>K63+K56+K58</f>
        <v>18966</v>
      </c>
      <c r="L64" s="188">
        <f t="shared" si="78"/>
        <v>20146</v>
      </c>
      <c r="M64" s="188">
        <f t="shared" ref="M64:R64" si="79">M63+M56+M58</f>
        <v>21106</v>
      </c>
      <c r="N64" s="188">
        <f t="shared" si="79"/>
        <v>21728</v>
      </c>
      <c r="O64" s="188">
        <f t="shared" si="79"/>
        <v>21659</v>
      </c>
      <c r="P64" s="188">
        <f t="shared" si="79"/>
        <v>22205</v>
      </c>
      <c r="Q64" s="188">
        <f t="shared" ref="Q64" si="80">Q63+Q56+Q58</f>
        <v>22367</v>
      </c>
      <c r="R64" s="188">
        <f t="shared" si="79"/>
        <v>22394</v>
      </c>
      <c r="S64" s="188">
        <f>S63+S56+S58</f>
        <v>22237</v>
      </c>
      <c r="T64" s="284">
        <f>RATE(5,,-M64,R64)</f>
        <v>1.1917596450673843E-2</v>
      </c>
      <c r="U64" s="330"/>
      <c r="V64" s="172" t="str">
        <f t="shared" si="2"/>
        <v>Total Liabilities &amp; Equity</v>
      </c>
      <c r="W64" s="183">
        <f t="shared" si="72"/>
        <v>1</v>
      </c>
      <c r="X64" s="183">
        <f t="shared" si="72"/>
        <v>1.0000000000000002</v>
      </c>
      <c r="Y64" s="183">
        <f t="shared" si="72"/>
        <v>1</v>
      </c>
      <c r="Z64" s="183">
        <f t="shared" si="72"/>
        <v>1</v>
      </c>
      <c r="AA64" s="183">
        <f t="shared" si="72"/>
        <v>1.0000000000000002</v>
      </c>
      <c r="AB64" s="183">
        <f t="shared" si="72"/>
        <v>1.0000000000000002</v>
      </c>
      <c r="AC64" s="184">
        <f t="shared" si="72"/>
        <v>1.0000000000000002</v>
      </c>
      <c r="AD64" s="184">
        <f t="shared" si="72"/>
        <v>1</v>
      </c>
      <c r="AE64" s="184">
        <f t="shared" si="72"/>
        <v>1</v>
      </c>
      <c r="AF64" s="184">
        <f t="shared" si="72"/>
        <v>1</v>
      </c>
      <c r="AG64" s="184">
        <f t="shared" si="72"/>
        <v>1</v>
      </c>
      <c r="AH64" s="184">
        <f t="shared" si="72"/>
        <v>1</v>
      </c>
      <c r="AI64" s="184">
        <f t="shared" si="72"/>
        <v>1</v>
      </c>
      <c r="AJ64" s="184">
        <f t="shared" si="72"/>
        <v>1</v>
      </c>
      <c r="AK64" s="184">
        <f t="shared" si="72"/>
        <v>1</v>
      </c>
      <c r="AL64" s="184">
        <f t="shared" si="73"/>
        <v>1</v>
      </c>
      <c r="AM64" s="184">
        <f t="shared" si="73"/>
        <v>1</v>
      </c>
      <c r="AN64" s="184">
        <f t="shared" si="73"/>
        <v>1</v>
      </c>
      <c r="AO64" s="289">
        <f>SUM(M64:R64)/SUM(M$38:R$38)</f>
        <v>1</v>
      </c>
    </row>
    <row r="65" spans="1:43" ht="13.5" thickTop="1" x14ac:dyDescent="0.2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S65" s="325"/>
      <c r="T65" s="191"/>
      <c r="U65" s="141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226"/>
    </row>
    <row r="66" spans="1:43" x14ac:dyDescent="0.2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T66" s="140"/>
      <c r="U66" s="138"/>
      <c r="AO66" s="193" t="s">
        <v>113</v>
      </c>
    </row>
    <row r="67" spans="1:43" x14ac:dyDescent="0.2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T67" s="192" t="s">
        <v>113</v>
      </c>
      <c r="U67" s="138"/>
      <c r="AO67" s="332" t="s">
        <v>120</v>
      </c>
    </row>
    <row r="68" spans="1:43" x14ac:dyDescent="0.2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T68" s="333" t="s">
        <v>119</v>
      </c>
      <c r="U68" s="138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3"/>
    </row>
    <row r="69" spans="1:43" ht="18.75" x14ac:dyDescent="0.3">
      <c r="A69" s="134" t="str">
        <f>A4</f>
        <v>PacifiCorp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2"/>
      <c r="Q69" s="12"/>
      <c r="R69" s="12"/>
      <c r="S69" s="12"/>
      <c r="T69" s="137"/>
      <c r="U69" s="138"/>
      <c r="V69" s="9" t="str">
        <f t="shared" si="2"/>
        <v>PacifiCorp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3"/>
    </row>
    <row r="70" spans="1:43" ht="15.75" x14ac:dyDescent="0.25">
      <c r="A70" s="136" t="s">
        <v>14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2"/>
      <c r="Q70" s="12"/>
      <c r="R70" s="12"/>
      <c r="S70" s="12"/>
      <c r="T70" s="137"/>
      <c r="U70" s="138"/>
      <c r="V70" s="11" t="str">
        <f t="shared" si="2"/>
        <v>Historical Income Statements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3"/>
    </row>
    <row r="71" spans="1:43" ht="15.75" x14ac:dyDescent="0.25">
      <c r="A71" s="221" t="str">
        <f>A6</f>
        <v>Fiscal Years Ended December 31, 2011-2016; Three Months Ended March 31, 2017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2"/>
      <c r="Q71" s="12"/>
      <c r="R71" s="12"/>
      <c r="S71" s="12"/>
      <c r="T71" s="137"/>
      <c r="U71" s="138"/>
      <c r="V71" s="11" t="str">
        <f t="shared" si="2"/>
        <v>Fiscal Years Ended December 31, 2011-2016; Three Months Ended March 31, 2017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3"/>
    </row>
    <row r="72" spans="1:43" ht="15.75" x14ac:dyDescent="0.25">
      <c r="A72" s="221" t="str">
        <f>A7</f>
        <v xml:space="preserve">  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2"/>
      <c r="Q72" s="12"/>
      <c r="R72" s="12"/>
      <c r="S72" s="12"/>
      <c r="T72" s="137"/>
      <c r="U72" s="138"/>
      <c r="V72" s="11" t="str">
        <f t="shared" si="2"/>
        <v xml:space="preserve">  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3"/>
    </row>
    <row r="73" spans="1:43" x14ac:dyDescent="0.2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9"/>
      <c r="Q73" s="169"/>
      <c r="R73" s="169"/>
      <c r="S73" s="169"/>
      <c r="T73" s="168" t="str">
        <f>T8</f>
        <v>2011-2016</v>
      </c>
      <c r="U73" s="138"/>
      <c r="AK73" s="173"/>
      <c r="AL73" s="173"/>
      <c r="AM73" s="173"/>
      <c r="AN73" s="173"/>
      <c r="AO73" s="5"/>
    </row>
    <row r="74" spans="1:43" ht="12.75" customHeight="1" x14ac:dyDescent="0.2">
      <c r="A74" s="163"/>
      <c r="B74" s="163"/>
      <c r="C74" s="163"/>
      <c r="D74" s="163"/>
      <c r="E74" s="163"/>
      <c r="F74" s="163"/>
      <c r="G74" s="163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 t="str">
        <f>S9</f>
        <v>3 Mos.</v>
      </c>
      <c r="T74" s="168" t="s">
        <v>4</v>
      </c>
      <c r="U74" s="138"/>
      <c r="W74" s="172"/>
      <c r="X74" s="172"/>
      <c r="Y74" s="172"/>
      <c r="Z74" s="172"/>
      <c r="AA74" s="172"/>
      <c r="AB74" s="172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 t="str">
        <f>S74</f>
        <v>3 Mos.</v>
      </c>
      <c r="AO74" s="174" t="str">
        <f>T8</f>
        <v>2011-2016</v>
      </c>
    </row>
    <row r="75" spans="1:43" x14ac:dyDescent="0.2">
      <c r="A75" s="185" t="s">
        <v>0</v>
      </c>
      <c r="B75" s="166">
        <f>B10</f>
        <v>2000</v>
      </c>
      <c r="C75" s="166">
        <f t="shared" ref="C75:H75" si="81">B75+1</f>
        <v>2001</v>
      </c>
      <c r="D75" s="166">
        <f t="shared" si="81"/>
        <v>2002</v>
      </c>
      <c r="E75" s="166">
        <f t="shared" si="81"/>
        <v>2003</v>
      </c>
      <c r="F75" s="166">
        <f t="shared" si="81"/>
        <v>2004</v>
      </c>
      <c r="G75" s="166">
        <f>F75+1</f>
        <v>2005</v>
      </c>
      <c r="H75" s="166">
        <f t="shared" si="81"/>
        <v>2006</v>
      </c>
      <c r="I75" s="166">
        <f>AD10</f>
        <v>2007</v>
      </c>
      <c r="J75" s="166">
        <f t="shared" ref="J75:O75" si="82">J10</f>
        <v>2008</v>
      </c>
      <c r="K75" s="166">
        <f t="shared" si="82"/>
        <v>2009</v>
      </c>
      <c r="L75" s="166">
        <f t="shared" si="82"/>
        <v>2010</v>
      </c>
      <c r="M75" s="166">
        <f t="shared" si="82"/>
        <v>2011</v>
      </c>
      <c r="N75" s="166">
        <f t="shared" si="82"/>
        <v>2012</v>
      </c>
      <c r="O75" s="166">
        <f t="shared" si="82"/>
        <v>2013</v>
      </c>
      <c r="P75" s="166">
        <f>AK10</f>
        <v>2014</v>
      </c>
      <c r="Q75" s="280">
        <f>Q10</f>
        <v>2015</v>
      </c>
      <c r="R75" s="280">
        <f>R10</f>
        <v>2016</v>
      </c>
      <c r="S75" s="327" t="str">
        <f>S10</f>
        <v>Mar. 2017</v>
      </c>
      <c r="T75" s="171" t="s">
        <v>23</v>
      </c>
      <c r="U75" s="141"/>
      <c r="V75" s="172" t="str">
        <f t="shared" si="2"/>
        <v>Account Name</v>
      </c>
      <c r="W75" s="176">
        <f t="shared" ref="W75:AK75" si="83">B75</f>
        <v>2000</v>
      </c>
      <c r="X75" s="176">
        <f t="shared" si="83"/>
        <v>2001</v>
      </c>
      <c r="Y75" s="176">
        <f t="shared" si="83"/>
        <v>2002</v>
      </c>
      <c r="Z75" s="176">
        <f t="shared" si="83"/>
        <v>2003</v>
      </c>
      <c r="AA75" s="176">
        <f t="shared" si="83"/>
        <v>2004</v>
      </c>
      <c r="AB75" s="176">
        <f t="shared" si="83"/>
        <v>2005</v>
      </c>
      <c r="AC75" s="176">
        <f t="shared" si="83"/>
        <v>2006</v>
      </c>
      <c r="AD75" s="176">
        <f t="shared" si="83"/>
        <v>2007</v>
      </c>
      <c r="AE75" s="176">
        <f t="shared" si="83"/>
        <v>2008</v>
      </c>
      <c r="AF75" s="176">
        <f t="shared" si="83"/>
        <v>2009</v>
      </c>
      <c r="AG75" s="176">
        <f t="shared" si="83"/>
        <v>2010</v>
      </c>
      <c r="AH75" s="176">
        <f t="shared" si="83"/>
        <v>2011</v>
      </c>
      <c r="AI75" s="176">
        <f t="shared" si="83"/>
        <v>2012</v>
      </c>
      <c r="AJ75" s="176">
        <f t="shared" si="83"/>
        <v>2013</v>
      </c>
      <c r="AK75" s="176">
        <f t="shared" si="83"/>
        <v>2014</v>
      </c>
      <c r="AL75" s="282">
        <f>AL10</f>
        <v>2015</v>
      </c>
      <c r="AM75" s="282">
        <f>AM10</f>
        <v>2016</v>
      </c>
      <c r="AN75" s="281" t="str">
        <f>S75</f>
        <v>Mar. 2017</v>
      </c>
      <c r="AO75" s="177" t="s">
        <v>3</v>
      </c>
    </row>
    <row r="76" spans="1:43" x14ac:dyDescent="0.2">
      <c r="A76" s="163" t="s">
        <v>149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4"/>
      <c r="U76" s="330"/>
      <c r="V76" s="195" t="str">
        <f t="shared" si="2"/>
        <v>Operating Sales and Revenues: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3" x14ac:dyDescent="0.2">
      <c r="A77" s="138" t="s">
        <v>44</v>
      </c>
      <c r="B77" s="147">
        <v>3986.9</v>
      </c>
      <c r="C77" s="148">
        <v>5055.7</v>
      </c>
      <c r="D77" s="148">
        <v>3353.7</v>
      </c>
      <c r="E77" s="148">
        <v>3082.4</v>
      </c>
      <c r="F77" s="148">
        <v>3194.5</v>
      </c>
      <c r="G77" s="148">
        <v>3048.8</v>
      </c>
      <c r="H77" s="148">
        <v>3896.7</v>
      </c>
      <c r="I77" s="142">
        <v>4258</v>
      </c>
      <c r="J77" s="141">
        <v>4498</v>
      </c>
      <c r="K77" s="141">
        <v>4457</v>
      </c>
      <c r="L77" s="143">
        <v>4432</v>
      </c>
      <c r="M77" s="143">
        <v>4586</v>
      </c>
      <c r="N77" s="143">
        <v>4882</v>
      </c>
      <c r="O77" s="143">
        <v>5147</v>
      </c>
      <c r="P77" s="143">
        <v>5252</v>
      </c>
      <c r="Q77" s="143">
        <v>5232</v>
      </c>
      <c r="R77" s="143">
        <v>5201</v>
      </c>
      <c r="S77" s="143">
        <v>1281</v>
      </c>
      <c r="T77" s="140">
        <f>RATE(5,,-M77,R77)</f>
        <v>2.5487947926666706E-2</v>
      </c>
      <c r="U77" s="330"/>
      <c r="V77" s="2" t="str">
        <f t="shared" si="2"/>
        <v>Revenues</v>
      </c>
      <c r="W77" s="6">
        <f t="shared" ref="W77:AK78" si="84">B77/B$78</f>
        <v>1</v>
      </c>
      <c r="X77" s="6">
        <f t="shared" si="84"/>
        <v>1</v>
      </c>
      <c r="Y77" s="6">
        <f t="shared" si="84"/>
        <v>1</v>
      </c>
      <c r="Z77" s="6">
        <f t="shared" si="84"/>
        <v>1</v>
      </c>
      <c r="AA77" s="6">
        <f t="shared" si="84"/>
        <v>1</v>
      </c>
      <c r="AB77" s="5">
        <f t="shared" si="84"/>
        <v>1</v>
      </c>
      <c r="AC77" s="5">
        <f t="shared" si="84"/>
        <v>1</v>
      </c>
      <c r="AD77" s="5">
        <f t="shared" si="84"/>
        <v>1</v>
      </c>
      <c r="AE77" s="5">
        <f t="shared" si="84"/>
        <v>1</v>
      </c>
      <c r="AF77" s="5">
        <f t="shared" si="84"/>
        <v>1</v>
      </c>
      <c r="AG77" s="5">
        <f t="shared" si="84"/>
        <v>1</v>
      </c>
      <c r="AH77" s="5">
        <f t="shared" si="84"/>
        <v>1</v>
      </c>
      <c r="AI77" s="5">
        <f t="shared" si="84"/>
        <v>1</v>
      </c>
      <c r="AJ77" s="5">
        <f t="shared" si="84"/>
        <v>1</v>
      </c>
      <c r="AK77" s="5">
        <f t="shared" si="84"/>
        <v>1</v>
      </c>
      <c r="AL77" s="5">
        <f t="shared" ref="AL77:AN78" si="85">Q77/Q$78</f>
        <v>1</v>
      </c>
      <c r="AM77" s="5">
        <f t="shared" si="85"/>
        <v>1</v>
      </c>
      <c r="AN77" s="5">
        <f t="shared" si="85"/>
        <v>1</v>
      </c>
      <c r="AO77" s="5">
        <f>SUM(M77:R77)/SUM(M$78:R$78)</f>
        <v>1</v>
      </c>
      <c r="AQ77" s="5"/>
    </row>
    <row r="78" spans="1:43" x14ac:dyDescent="0.2">
      <c r="A78" s="163" t="s">
        <v>45</v>
      </c>
      <c r="B78" s="197">
        <f t="shared" ref="B78:L78" si="86">SUM(B76:B77)</f>
        <v>3986.9</v>
      </c>
      <c r="C78" s="197">
        <f t="shared" si="86"/>
        <v>5055.7</v>
      </c>
      <c r="D78" s="197">
        <f t="shared" si="86"/>
        <v>3353.7</v>
      </c>
      <c r="E78" s="197">
        <f t="shared" si="86"/>
        <v>3082.4</v>
      </c>
      <c r="F78" s="197">
        <f t="shared" si="86"/>
        <v>3194.5</v>
      </c>
      <c r="G78" s="197">
        <f t="shared" si="86"/>
        <v>3048.8</v>
      </c>
      <c r="H78" s="197">
        <f t="shared" si="86"/>
        <v>3896.7</v>
      </c>
      <c r="I78" s="163">
        <f t="shared" si="86"/>
        <v>4258</v>
      </c>
      <c r="J78" s="190">
        <f t="shared" si="86"/>
        <v>4498</v>
      </c>
      <c r="K78" s="190">
        <f t="shared" si="86"/>
        <v>4457</v>
      </c>
      <c r="L78" s="163">
        <f t="shared" si="86"/>
        <v>4432</v>
      </c>
      <c r="M78" s="163">
        <f t="shared" ref="M78:R78" si="87">SUM(M76:M77)</f>
        <v>4586</v>
      </c>
      <c r="N78" s="163">
        <f t="shared" si="87"/>
        <v>4882</v>
      </c>
      <c r="O78" s="163">
        <f t="shared" si="87"/>
        <v>5147</v>
      </c>
      <c r="P78" s="163">
        <f t="shared" si="87"/>
        <v>5252</v>
      </c>
      <c r="Q78" s="163">
        <f t="shared" ref="Q78" si="88">SUM(Q76:Q77)</f>
        <v>5232</v>
      </c>
      <c r="R78" s="163">
        <f t="shared" si="87"/>
        <v>5201</v>
      </c>
      <c r="S78" s="163">
        <f>SUM(S76:S77)</f>
        <v>1281</v>
      </c>
      <c r="T78" s="284">
        <f>RATE(5,,-M78,R78)</f>
        <v>2.5487947926666706E-2</v>
      </c>
      <c r="U78" s="330"/>
      <c r="V78" s="172" t="str">
        <f t="shared" si="2"/>
        <v>Total Revenues</v>
      </c>
      <c r="W78" s="179">
        <f t="shared" si="84"/>
        <v>1</v>
      </c>
      <c r="X78" s="179">
        <f t="shared" si="84"/>
        <v>1</v>
      </c>
      <c r="Y78" s="179">
        <f t="shared" si="84"/>
        <v>1</v>
      </c>
      <c r="Z78" s="179">
        <f t="shared" si="84"/>
        <v>1</v>
      </c>
      <c r="AA78" s="179">
        <f t="shared" si="84"/>
        <v>1</v>
      </c>
      <c r="AB78" s="180">
        <f t="shared" si="84"/>
        <v>1</v>
      </c>
      <c r="AC78" s="180">
        <f t="shared" si="84"/>
        <v>1</v>
      </c>
      <c r="AD78" s="180">
        <f t="shared" si="84"/>
        <v>1</v>
      </c>
      <c r="AE78" s="180">
        <f t="shared" si="84"/>
        <v>1</v>
      </c>
      <c r="AF78" s="180">
        <f t="shared" si="84"/>
        <v>1</v>
      </c>
      <c r="AG78" s="180">
        <f t="shared" si="84"/>
        <v>1</v>
      </c>
      <c r="AH78" s="180">
        <f t="shared" si="84"/>
        <v>1</v>
      </c>
      <c r="AI78" s="180">
        <f t="shared" si="84"/>
        <v>1</v>
      </c>
      <c r="AJ78" s="180">
        <f t="shared" si="84"/>
        <v>1</v>
      </c>
      <c r="AK78" s="180">
        <f t="shared" si="84"/>
        <v>1</v>
      </c>
      <c r="AL78" s="180">
        <f t="shared" si="85"/>
        <v>1</v>
      </c>
      <c r="AM78" s="180">
        <f t="shared" si="85"/>
        <v>1</v>
      </c>
      <c r="AN78" s="180">
        <f t="shared" si="85"/>
        <v>1</v>
      </c>
      <c r="AO78" s="289">
        <f>SUM(M78:R78)/SUM(M$78:R$78)</f>
        <v>1</v>
      </c>
      <c r="AP78" s="172"/>
    </row>
    <row r="79" spans="1:43" ht="7.5" customHeight="1" x14ac:dyDescent="0.2">
      <c r="A79" s="138"/>
      <c r="B79" s="150"/>
      <c r="C79" s="150"/>
      <c r="D79" s="150"/>
      <c r="E79" s="150"/>
      <c r="F79" s="150"/>
      <c r="G79" s="150"/>
      <c r="H79" s="150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40"/>
      <c r="U79" s="330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3" x14ac:dyDescent="0.2">
      <c r="A80" s="163" t="s">
        <v>21</v>
      </c>
      <c r="B80" s="150"/>
      <c r="C80" s="150"/>
      <c r="D80" s="150"/>
      <c r="E80" s="150"/>
      <c r="F80" s="150"/>
      <c r="G80" s="150"/>
      <c r="H80" s="150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40"/>
      <c r="U80" s="330"/>
      <c r="V80" s="172" t="str">
        <f t="shared" ref="V80:V102" si="89">A80</f>
        <v>Operating Expenses:</v>
      </c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64" x14ac:dyDescent="0.2">
      <c r="A81" s="151" t="s">
        <v>170</v>
      </c>
      <c r="B81" s="150">
        <f>1217.8+512.3</f>
        <v>1730.1</v>
      </c>
      <c r="C81" s="150">
        <f>2636+491</f>
        <v>3127</v>
      </c>
      <c r="D81" s="150">
        <f>974.4+490.9</f>
        <v>1465.3</v>
      </c>
      <c r="E81" s="150">
        <f>698.5+482.2</f>
        <v>1180.7</v>
      </c>
      <c r="F81" s="150">
        <f>672.8+483.9</f>
        <v>1156.6999999999998</v>
      </c>
      <c r="G81" s="150">
        <f>448+500</f>
        <v>948</v>
      </c>
      <c r="H81" s="152">
        <f>1545.1</f>
        <v>1545.1</v>
      </c>
      <c r="I81" s="139">
        <v>1768</v>
      </c>
      <c r="J81" s="139">
        <v>1957</v>
      </c>
      <c r="K81" s="139">
        <v>1677</v>
      </c>
      <c r="L81" s="139">
        <v>1618</v>
      </c>
      <c r="M81" s="139">
        <v>1636</v>
      </c>
      <c r="N81" s="139">
        <v>1818</v>
      </c>
      <c r="O81" s="139">
        <v>1924</v>
      </c>
      <c r="P81" s="139">
        <v>1997</v>
      </c>
      <c r="Q81" s="139">
        <v>1868</v>
      </c>
      <c r="R81" s="139">
        <v>1751</v>
      </c>
      <c r="S81" s="139">
        <v>441</v>
      </c>
      <c r="T81" s="140">
        <f>RATE(5,,-M81,R81)</f>
        <v>1.3679279796952364E-2</v>
      </c>
      <c r="U81" s="330"/>
      <c r="V81" s="2" t="str">
        <f t="shared" si="89"/>
        <v>Energy Costs</v>
      </c>
      <c r="W81" s="5">
        <f t="shared" ref="W81:AK87" si="90">B81/B$78</f>
        <v>0.43394617371892946</v>
      </c>
      <c r="X81" s="5">
        <f t="shared" si="90"/>
        <v>0.61850980081887774</v>
      </c>
      <c r="Y81" s="5">
        <f t="shared" si="90"/>
        <v>0.43692041625667177</v>
      </c>
      <c r="Z81" s="5">
        <f t="shared" si="90"/>
        <v>0.38304567869192835</v>
      </c>
      <c r="AA81" s="5">
        <f t="shared" si="90"/>
        <v>0.36209109406792922</v>
      </c>
      <c r="AB81" s="5">
        <f t="shared" si="90"/>
        <v>0.31094200997113619</v>
      </c>
      <c r="AC81" s="5">
        <f t="shared" si="90"/>
        <v>0.39651499987168631</v>
      </c>
      <c r="AD81" s="5">
        <f t="shared" si="90"/>
        <v>0.41521841240018786</v>
      </c>
      <c r="AE81" s="5">
        <f t="shared" si="90"/>
        <v>0.43508225878168072</v>
      </c>
      <c r="AF81" s="5">
        <f t="shared" si="90"/>
        <v>0.37626205968140003</v>
      </c>
      <c r="AG81" s="5">
        <f t="shared" si="90"/>
        <v>0.36507220216606501</v>
      </c>
      <c r="AH81" s="5">
        <f t="shared" si="90"/>
        <v>0.35673789795028349</v>
      </c>
      <c r="AI81" s="5">
        <f t="shared" si="90"/>
        <v>0.37238836542400655</v>
      </c>
      <c r="AJ81" s="5">
        <f t="shared" si="90"/>
        <v>0.37380998639984458</v>
      </c>
      <c r="AK81" s="5">
        <f t="shared" si="90"/>
        <v>0.38023610053313023</v>
      </c>
      <c r="AL81" s="5">
        <f t="shared" ref="AL81:AN87" si="91">Q81/Q$78</f>
        <v>0.35703363914373087</v>
      </c>
      <c r="AM81" s="5">
        <f t="shared" si="91"/>
        <v>0.33666602576427612</v>
      </c>
      <c r="AN81" s="5">
        <f t="shared" si="91"/>
        <v>0.34426229508196721</v>
      </c>
      <c r="AO81" s="5">
        <f>SUM(M81:R81)/SUM(M$78:R$78)</f>
        <v>0.36283828382838285</v>
      </c>
    </row>
    <row r="82" spans="1:64" x14ac:dyDescent="0.2">
      <c r="A82" s="151" t="s">
        <v>157</v>
      </c>
      <c r="B82" s="150">
        <f>726+283</f>
        <v>1009</v>
      </c>
      <c r="C82" s="150">
        <f>705.2+200.8</f>
        <v>906</v>
      </c>
      <c r="D82" s="150">
        <v>813.4</v>
      </c>
      <c r="E82" s="150">
        <v>885.1</v>
      </c>
      <c r="F82" s="150">
        <v>895.8</v>
      </c>
      <c r="G82" s="150">
        <v>913.1</v>
      </c>
      <c r="H82" s="150">
        <v>1014.5</v>
      </c>
      <c r="I82" s="139">
        <v>998</v>
      </c>
      <c r="J82" s="139">
        <v>985</v>
      </c>
      <c r="K82" s="139">
        <v>1035</v>
      </c>
      <c r="L82" s="138">
        <v>1081</v>
      </c>
      <c r="M82" s="138">
        <v>1103</v>
      </c>
      <c r="N82" s="138">
        <v>1242</v>
      </c>
      <c r="O82" s="138">
        <v>1114</v>
      </c>
      <c r="P82" s="138">
        <v>1057</v>
      </c>
      <c r="Q82" s="138">
        <v>1082</v>
      </c>
      <c r="R82" s="138">
        <v>1064</v>
      </c>
      <c r="S82" s="138">
        <v>248</v>
      </c>
      <c r="T82" s="140">
        <f t="shared" ref="T82:T84" si="92">RATE(5,,-M82,R82)</f>
        <v>-7.1738143349113614E-3</v>
      </c>
      <c r="U82" s="330"/>
      <c r="V82" s="2" t="str">
        <f t="shared" si="89"/>
        <v>Other operations and maintenance</v>
      </c>
      <c r="W82" s="5">
        <f t="shared" si="90"/>
        <v>0.25307883317866009</v>
      </c>
      <c r="X82" s="5">
        <f t="shared" si="90"/>
        <v>0.17920367110390253</v>
      </c>
      <c r="Y82" s="5">
        <f t="shared" si="90"/>
        <v>0.24253809225631393</v>
      </c>
      <c r="Z82" s="5">
        <f t="shared" si="90"/>
        <v>0.28714637944458865</v>
      </c>
      <c r="AA82" s="5">
        <f t="shared" si="90"/>
        <v>0.28041947096572234</v>
      </c>
      <c r="AB82" s="5">
        <f t="shared" si="90"/>
        <v>0.29949488323274731</v>
      </c>
      <c r="AC82" s="5">
        <f t="shared" si="90"/>
        <v>0.26034850001283139</v>
      </c>
      <c r="AD82" s="5">
        <f t="shared" si="90"/>
        <v>0.2343823391263504</v>
      </c>
      <c r="AE82" s="5">
        <f t="shared" si="90"/>
        <v>0.21898621609604269</v>
      </c>
      <c r="AF82" s="5">
        <f t="shared" si="90"/>
        <v>0.23221898137760827</v>
      </c>
      <c r="AG82" s="5">
        <f t="shared" si="90"/>
        <v>0.24390794223826714</v>
      </c>
      <c r="AH82" s="5">
        <f t="shared" si="90"/>
        <v>0.24051460968163976</v>
      </c>
      <c r="AI82" s="5">
        <f t="shared" si="90"/>
        <v>0.25440393281442031</v>
      </c>
      <c r="AJ82" s="5">
        <f t="shared" si="90"/>
        <v>0.21643675927724887</v>
      </c>
      <c r="AK82" s="5">
        <f t="shared" si="90"/>
        <v>0.20125666412795126</v>
      </c>
      <c r="AL82" s="5">
        <f t="shared" si="91"/>
        <v>0.20680428134556575</v>
      </c>
      <c r="AM82" s="5">
        <f t="shared" si="91"/>
        <v>0.20457604306864063</v>
      </c>
      <c r="AN82" s="5">
        <f t="shared" si="91"/>
        <v>0.19359875097580015</v>
      </c>
      <c r="AO82" s="5">
        <f t="shared" ref="AO82:AO84" si="93">SUM(M82:R82)/SUM(M$78:R$78)</f>
        <v>0.21986798679867986</v>
      </c>
    </row>
    <row r="83" spans="1:64" x14ac:dyDescent="0.2">
      <c r="A83" s="151" t="s">
        <v>158</v>
      </c>
      <c r="B83" s="150">
        <v>441.3</v>
      </c>
      <c r="C83" s="150">
        <v>429</v>
      </c>
      <c r="D83" s="150">
        <v>403</v>
      </c>
      <c r="E83" s="150">
        <v>434.3</v>
      </c>
      <c r="F83" s="150">
        <v>428.8</v>
      </c>
      <c r="G83" s="150">
        <v>436.9</v>
      </c>
      <c r="H83" s="150">
        <v>448.3</v>
      </c>
      <c r="I83" s="139">
        <v>497</v>
      </c>
      <c r="J83" s="139">
        <v>490</v>
      </c>
      <c r="K83" s="139">
        <v>549</v>
      </c>
      <c r="L83" s="138">
        <v>561</v>
      </c>
      <c r="M83" s="138">
        <v>611</v>
      </c>
      <c r="N83" s="138">
        <v>640</v>
      </c>
      <c r="O83" s="138">
        <v>675</v>
      </c>
      <c r="P83" s="138">
        <v>726</v>
      </c>
      <c r="Q83" s="138">
        <v>757</v>
      </c>
      <c r="R83" s="138">
        <v>770</v>
      </c>
      <c r="S83" s="138">
        <v>196</v>
      </c>
      <c r="T83" s="140">
        <f t="shared" si="92"/>
        <v>4.7345335810623564E-2</v>
      </c>
      <c r="U83" s="144"/>
      <c r="V83" s="2" t="str">
        <f t="shared" si="89"/>
        <v>Depreciation and amortization</v>
      </c>
      <c r="W83" s="5">
        <f t="shared" si="90"/>
        <v>0.110687501567634</v>
      </c>
      <c r="X83" s="5">
        <f t="shared" si="90"/>
        <v>8.48547184366161E-2</v>
      </c>
      <c r="Y83" s="5">
        <f t="shared" si="90"/>
        <v>0.1201657870411784</v>
      </c>
      <c r="Z83" s="5">
        <f t="shared" si="90"/>
        <v>0.14089670386711653</v>
      </c>
      <c r="AA83" s="5">
        <f t="shared" si="90"/>
        <v>0.13423070903114728</v>
      </c>
      <c r="AB83" s="5">
        <f t="shared" si="90"/>
        <v>0.14330228286538965</v>
      </c>
      <c r="AC83" s="5">
        <f t="shared" si="90"/>
        <v>0.11504606461878</v>
      </c>
      <c r="AD83" s="5">
        <f t="shared" si="90"/>
        <v>0.11672146547674965</v>
      </c>
      <c r="AE83" s="5">
        <f t="shared" si="90"/>
        <v>0.10893730546909737</v>
      </c>
      <c r="AF83" s="5">
        <f t="shared" si="90"/>
        <v>0.12317702490464438</v>
      </c>
      <c r="AG83" s="5">
        <f t="shared" si="90"/>
        <v>0.12657942238267147</v>
      </c>
      <c r="AH83" s="5">
        <f t="shared" si="90"/>
        <v>0.13323157435673791</v>
      </c>
      <c r="AI83" s="5">
        <f t="shared" si="90"/>
        <v>0.13109381401065137</v>
      </c>
      <c r="AJ83" s="5">
        <f t="shared" si="90"/>
        <v>0.13114435593549639</v>
      </c>
      <c r="AK83" s="5">
        <f t="shared" si="90"/>
        <v>0.13823305407463823</v>
      </c>
      <c r="AL83" s="5">
        <f t="shared" si="91"/>
        <v>0.14468654434250763</v>
      </c>
      <c r="AM83" s="5">
        <f t="shared" si="91"/>
        <v>0.1480484522207268</v>
      </c>
      <c r="AN83" s="5">
        <f t="shared" si="91"/>
        <v>0.15300546448087432</v>
      </c>
      <c r="AO83" s="5">
        <f t="shared" si="93"/>
        <v>0.13792079207920793</v>
      </c>
    </row>
    <row r="84" spans="1:64" x14ac:dyDescent="0.2">
      <c r="A84" s="151" t="s">
        <v>160</v>
      </c>
      <c r="B84" s="150">
        <v>101.4</v>
      </c>
      <c r="C84" s="150">
        <v>100.3</v>
      </c>
      <c r="D84" s="150">
        <v>90.8</v>
      </c>
      <c r="E84" s="150">
        <v>93.4</v>
      </c>
      <c r="F84" s="150">
        <v>95.3</v>
      </c>
      <c r="G84" s="150">
        <v>94.4</v>
      </c>
      <c r="H84" s="150">
        <v>96.8</v>
      </c>
      <c r="I84" s="139">
        <v>101</v>
      </c>
      <c r="J84" s="139">
        <v>112</v>
      </c>
      <c r="K84" s="139">
        <v>136</v>
      </c>
      <c r="L84" s="138">
        <v>136</v>
      </c>
      <c r="M84" s="138">
        <v>152</v>
      </c>
      <c r="N84" s="138">
        <v>161</v>
      </c>
      <c r="O84" s="138">
        <v>170</v>
      </c>
      <c r="P84" s="138">
        <v>172</v>
      </c>
      <c r="Q84" s="138">
        <v>185</v>
      </c>
      <c r="R84" s="138">
        <v>190</v>
      </c>
      <c r="S84" s="138">
        <v>51</v>
      </c>
      <c r="T84" s="140">
        <f t="shared" si="92"/>
        <v>4.5639552591323629E-2</v>
      </c>
      <c r="U84" s="141"/>
      <c r="V84" s="2" t="str">
        <f t="shared" si="89"/>
        <v>Taxes, other than income taxes</v>
      </c>
      <c r="W84" s="5">
        <f t="shared" si="90"/>
        <v>2.5433294037974365E-2</v>
      </c>
      <c r="X84" s="5">
        <f t="shared" si="90"/>
        <v>1.983899361117155E-2</v>
      </c>
      <c r="Y84" s="5">
        <f t="shared" si="90"/>
        <v>2.7074574350717119E-2</v>
      </c>
      <c r="Z84" s="5">
        <f t="shared" si="90"/>
        <v>3.0301064105891513E-2</v>
      </c>
      <c r="AA84" s="5">
        <f t="shared" si="90"/>
        <v>2.9832524651745185E-2</v>
      </c>
      <c r="AB84" s="5">
        <f t="shared" si="90"/>
        <v>3.0963001836788243E-2</v>
      </c>
      <c r="AC84" s="5">
        <f t="shared" si="90"/>
        <v>2.4841532578848771E-2</v>
      </c>
      <c r="AD84" s="5">
        <f t="shared" si="90"/>
        <v>2.3720056364490372E-2</v>
      </c>
      <c r="AE84" s="5">
        <f t="shared" si="90"/>
        <v>2.4899955535793685E-2</v>
      </c>
      <c r="AF84" s="5">
        <f t="shared" si="90"/>
        <v>3.0513798519183306E-2</v>
      </c>
      <c r="AG84" s="5">
        <f t="shared" si="90"/>
        <v>3.0685920577617327E-2</v>
      </c>
      <c r="AH84" s="5">
        <f t="shared" si="90"/>
        <v>3.3144352376798955E-2</v>
      </c>
      <c r="AI84" s="5">
        <f t="shared" si="90"/>
        <v>3.2978287587054483E-2</v>
      </c>
      <c r="AJ84" s="5">
        <f t="shared" si="90"/>
        <v>3.3028948902273168E-2</v>
      </c>
      <c r="AK84" s="5">
        <f t="shared" si="90"/>
        <v>3.2749428789032753E-2</v>
      </c>
      <c r="AL84" s="5">
        <f t="shared" si="91"/>
        <v>3.5359327217125383E-2</v>
      </c>
      <c r="AM84" s="5">
        <f t="shared" si="91"/>
        <v>3.6531436262257258E-2</v>
      </c>
      <c r="AN84" s="5">
        <f t="shared" si="91"/>
        <v>3.9812646370023422E-2</v>
      </c>
      <c r="AO84" s="5">
        <f t="shared" si="93"/>
        <v>3.3993399339933991E-2</v>
      </c>
    </row>
    <row r="85" spans="1:64" s="21" customFormat="1" hidden="1" x14ac:dyDescent="0.2">
      <c r="A85" s="151" t="s">
        <v>159</v>
      </c>
      <c r="B85" s="148">
        <v>0</v>
      </c>
      <c r="C85" s="148">
        <v>-30.6</v>
      </c>
      <c r="D85" s="148">
        <v>-32.4</v>
      </c>
      <c r="E85" s="148">
        <v>0</v>
      </c>
      <c r="F85" s="148">
        <v>0</v>
      </c>
      <c r="G85" s="148">
        <v>0</v>
      </c>
      <c r="H85" s="149">
        <v>0</v>
      </c>
      <c r="I85" s="143">
        <v>0</v>
      </c>
      <c r="J85" s="143">
        <v>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3">
        <v>0</v>
      </c>
      <c r="Q85" s="143">
        <v>0</v>
      </c>
      <c r="R85" s="143">
        <v>0</v>
      </c>
      <c r="S85" s="143">
        <v>0</v>
      </c>
      <c r="T85" s="140" t="e">
        <f t="shared" ref="T85" si="94">RATE(5,,-L85,R85)</f>
        <v>#NUM!</v>
      </c>
      <c r="U85" s="330"/>
      <c r="V85" s="2" t="str">
        <f t="shared" si="89"/>
        <v>Other Operating Expenses</v>
      </c>
      <c r="W85" s="6">
        <f t="shared" si="90"/>
        <v>0</v>
      </c>
      <c r="X85" s="6">
        <f t="shared" si="90"/>
        <v>-6.0525743220523377E-3</v>
      </c>
      <c r="Y85" s="6">
        <f t="shared" si="90"/>
        <v>-9.6609714643528053E-3</v>
      </c>
      <c r="Z85" s="6">
        <f t="shared" si="90"/>
        <v>0</v>
      </c>
      <c r="AA85" s="18">
        <f t="shared" si="90"/>
        <v>0</v>
      </c>
      <c r="AB85" s="18">
        <f t="shared" si="90"/>
        <v>0</v>
      </c>
      <c r="AC85" s="18">
        <f t="shared" si="90"/>
        <v>0</v>
      </c>
      <c r="AD85" s="18">
        <f t="shared" si="90"/>
        <v>0</v>
      </c>
      <c r="AE85" s="18">
        <f t="shared" si="90"/>
        <v>0</v>
      </c>
      <c r="AF85" s="18">
        <f t="shared" si="90"/>
        <v>0</v>
      </c>
      <c r="AG85" s="18">
        <f t="shared" si="90"/>
        <v>0</v>
      </c>
      <c r="AH85" s="18">
        <f t="shared" si="90"/>
        <v>0</v>
      </c>
      <c r="AI85" s="18">
        <f t="shared" si="90"/>
        <v>0</v>
      </c>
      <c r="AJ85" s="18">
        <f t="shared" si="90"/>
        <v>0</v>
      </c>
      <c r="AK85" s="18">
        <f t="shared" si="90"/>
        <v>0</v>
      </c>
      <c r="AL85" s="18">
        <f t="shared" si="91"/>
        <v>0</v>
      </c>
      <c r="AM85" s="18">
        <f t="shared" si="91"/>
        <v>0</v>
      </c>
      <c r="AN85" s="18">
        <f t="shared" si="91"/>
        <v>0</v>
      </c>
      <c r="AO85" s="5">
        <f t="shared" ref="AO85" si="95">SUM(L85:R85)/SUM(L$78:R$78)</f>
        <v>0</v>
      </c>
      <c r="AP85" s="2"/>
      <c r="AQ85" s="19"/>
      <c r="AR85" s="19"/>
      <c r="AS85" s="19"/>
      <c r="AT85" s="19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</row>
    <row r="86" spans="1:64" s="21" customFormat="1" ht="12.75" customHeight="1" x14ac:dyDescent="0.2">
      <c r="A86" s="138" t="s">
        <v>37</v>
      </c>
      <c r="B86" s="148">
        <f t="shared" ref="B86:L86" si="96">SUM(B80:B85)</f>
        <v>3281.8</v>
      </c>
      <c r="C86" s="148">
        <f t="shared" si="96"/>
        <v>4531.7</v>
      </c>
      <c r="D86" s="148">
        <f t="shared" si="96"/>
        <v>2740.1</v>
      </c>
      <c r="E86" s="148">
        <f t="shared" si="96"/>
        <v>2593.5000000000005</v>
      </c>
      <c r="F86" s="153">
        <f t="shared" si="96"/>
        <v>2576.6000000000004</v>
      </c>
      <c r="G86" s="153">
        <f t="shared" si="96"/>
        <v>2392.4</v>
      </c>
      <c r="H86" s="153">
        <f t="shared" si="96"/>
        <v>3104.7000000000003</v>
      </c>
      <c r="I86" s="265">
        <f t="shared" si="96"/>
        <v>3364</v>
      </c>
      <c r="J86" s="265">
        <f>SUM(J80:J85)</f>
        <v>3544</v>
      </c>
      <c r="K86" s="265">
        <f>SUM(K80:K85)</f>
        <v>3397</v>
      </c>
      <c r="L86" s="265">
        <f t="shared" si="96"/>
        <v>3396</v>
      </c>
      <c r="M86" s="265">
        <f t="shared" ref="M86:R86" si="97">SUM(M80:M85)</f>
        <v>3502</v>
      </c>
      <c r="N86" s="265">
        <f t="shared" si="97"/>
        <v>3861</v>
      </c>
      <c r="O86" s="265">
        <f t="shared" si="97"/>
        <v>3883</v>
      </c>
      <c r="P86" s="265">
        <f t="shared" si="97"/>
        <v>3952</v>
      </c>
      <c r="Q86" s="265">
        <f t="shared" ref="Q86" si="98">SUM(Q80:Q85)</f>
        <v>3892</v>
      </c>
      <c r="R86" s="265">
        <f t="shared" si="97"/>
        <v>3775</v>
      </c>
      <c r="S86" s="265">
        <f>SUM(S80:S85)</f>
        <v>936</v>
      </c>
      <c r="T86" s="286">
        <f>RATE(5,,-M86,R86)</f>
        <v>1.512649441435149E-2</v>
      </c>
      <c r="U86" s="330"/>
      <c r="V86" s="2" t="str">
        <f t="shared" si="89"/>
        <v>Total Operating Expenses</v>
      </c>
      <c r="W86" s="6">
        <f t="shared" si="90"/>
        <v>0.82314580250319802</v>
      </c>
      <c r="X86" s="6">
        <f t="shared" si="90"/>
        <v>0.89635460964851554</v>
      </c>
      <c r="Y86" s="6">
        <f t="shared" si="90"/>
        <v>0.81703789844052843</v>
      </c>
      <c r="Z86" s="6">
        <f t="shared" si="90"/>
        <v>0.84138982610952517</v>
      </c>
      <c r="AA86" s="97">
        <f t="shared" si="90"/>
        <v>0.80657379871654422</v>
      </c>
      <c r="AB86" s="97">
        <f t="shared" si="90"/>
        <v>0.78470217790606134</v>
      </c>
      <c r="AC86" s="97">
        <f t="shared" si="90"/>
        <v>0.79675109708214653</v>
      </c>
      <c r="AD86" s="97">
        <f t="shared" si="90"/>
        <v>0.79004227336777832</v>
      </c>
      <c r="AE86" s="97">
        <f t="shared" si="90"/>
        <v>0.78790573588261448</v>
      </c>
      <c r="AF86" s="97">
        <f t="shared" si="90"/>
        <v>0.76217186448283603</v>
      </c>
      <c r="AG86" s="97">
        <f t="shared" si="90"/>
        <v>0.76624548736462095</v>
      </c>
      <c r="AH86" s="97">
        <f t="shared" si="90"/>
        <v>0.76362843436546013</v>
      </c>
      <c r="AI86" s="97">
        <f t="shared" si="90"/>
        <v>0.79086439983613277</v>
      </c>
      <c r="AJ86" s="97">
        <f t="shared" si="90"/>
        <v>0.75442005051486305</v>
      </c>
      <c r="AK86" s="97">
        <f t="shared" si="90"/>
        <v>0.75247524752475248</v>
      </c>
      <c r="AL86" s="97">
        <f t="shared" si="91"/>
        <v>0.74388379204892963</v>
      </c>
      <c r="AM86" s="97">
        <f t="shared" si="91"/>
        <v>0.72582195731590082</v>
      </c>
      <c r="AN86" s="97">
        <f t="shared" si="91"/>
        <v>0.73067915690866514</v>
      </c>
      <c r="AO86" s="290">
        <f>SUM(M86:R86)/SUM(M$78:R$78)</f>
        <v>0.75462046204620459</v>
      </c>
      <c r="AP86" s="2"/>
      <c r="AQ86" s="19"/>
      <c r="AR86" s="19"/>
      <c r="AS86" s="19"/>
      <c r="AT86" s="19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</row>
    <row r="87" spans="1:64" s="21" customFormat="1" x14ac:dyDescent="0.2">
      <c r="A87" s="163" t="s">
        <v>13</v>
      </c>
      <c r="B87" s="197">
        <f t="shared" ref="B87:L87" si="99">B78-B86</f>
        <v>705.09999999999991</v>
      </c>
      <c r="C87" s="197">
        <f t="shared" si="99"/>
        <v>524</v>
      </c>
      <c r="D87" s="197">
        <f t="shared" si="99"/>
        <v>613.59999999999991</v>
      </c>
      <c r="E87" s="197">
        <f t="shared" si="99"/>
        <v>488.89999999999964</v>
      </c>
      <c r="F87" s="197">
        <f t="shared" si="99"/>
        <v>617.89999999999964</v>
      </c>
      <c r="G87" s="197">
        <f t="shared" si="99"/>
        <v>656.40000000000009</v>
      </c>
      <c r="H87" s="197">
        <f t="shared" si="99"/>
        <v>791.99999999999955</v>
      </c>
      <c r="I87" s="163">
        <f t="shared" si="99"/>
        <v>894</v>
      </c>
      <c r="J87" s="163">
        <f t="shared" si="99"/>
        <v>954</v>
      </c>
      <c r="K87" s="163">
        <f t="shared" si="99"/>
        <v>1060</v>
      </c>
      <c r="L87" s="163">
        <f t="shared" si="99"/>
        <v>1036</v>
      </c>
      <c r="M87" s="163">
        <f t="shared" ref="M87:R87" si="100">M78-M86</f>
        <v>1084</v>
      </c>
      <c r="N87" s="163">
        <f t="shared" si="100"/>
        <v>1021</v>
      </c>
      <c r="O87" s="163">
        <f t="shared" si="100"/>
        <v>1264</v>
      </c>
      <c r="P87" s="163">
        <f t="shared" si="100"/>
        <v>1300</v>
      </c>
      <c r="Q87" s="163">
        <f t="shared" ref="Q87" si="101">Q78-Q86</f>
        <v>1340</v>
      </c>
      <c r="R87" s="163">
        <f t="shared" si="100"/>
        <v>1426</v>
      </c>
      <c r="S87" s="163">
        <f>S78-S86</f>
        <v>345</v>
      </c>
      <c r="T87" s="284">
        <f>RATE(5,,-M87,R87)</f>
        <v>5.6374839338498614E-2</v>
      </c>
      <c r="U87" s="141"/>
      <c r="V87" s="172" t="str">
        <f t="shared" si="89"/>
        <v>Earnings From Operations</v>
      </c>
      <c r="W87" s="179">
        <f t="shared" si="90"/>
        <v>0.17685419749680201</v>
      </c>
      <c r="X87" s="179">
        <f t="shared" si="90"/>
        <v>0.10364539035148447</v>
      </c>
      <c r="Y87" s="179">
        <f t="shared" si="90"/>
        <v>0.18296210155947162</v>
      </c>
      <c r="Z87" s="179">
        <f t="shared" si="90"/>
        <v>0.15861017389047483</v>
      </c>
      <c r="AA87" s="179">
        <f t="shared" si="90"/>
        <v>0.19342620128345583</v>
      </c>
      <c r="AB87" s="179">
        <f t="shared" si="90"/>
        <v>0.21529782209393861</v>
      </c>
      <c r="AC87" s="179">
        <f t="shared" si="90"/>
        <v>0.20324890291785347</v>
      </c>
      <c r="AD87" s="179">
        <f t="shared" si="90"/>
        <v>0.2099577266322217</v>
      </c>
      <c r="AE87" s="179">
        <f t="shared" si="90"/>
        <v>0.21209426411738549</v>
      </c>
      <c r="AF87" s="179">
        <f t="shared" si="90"/>
        <v>0.237828135517164</v>
      </c>
      <c r="AG87" s="179">
        <f t="shared" si="90"/>
        <v>0.23375451263537905</v>
      </c>
      <c r="AH87" s="179">
        <f t="shared" si="90"/>
        <v>0.2363715656345399</v>
      </c>
      <c r="AI87" s="179">
        <f t="shared" si="90"/>
        <v>0.20913560016386726</v>
      </c>
      <c r="AJ87" s="179">
        <f t="shared" si="90"/>
        <v>0.24557994948513698</v>
      </c>
      <c r="AK87" s="179">
        <f t="shared" si="90"/>
        <v>0.24752475247524752</v>
      </c>
      <c r="AL87" s="179">
        <f t="shared" si="91"/>
        <v>0.25611620795107032</v>
      </c>
      <c r="AM87" s="179">
        <f t="shared" si="91"/>
        <v>0.27417804268409923</v>
      </c>
      <c r="AN87" s="179">
        <f t="shared" si="91"/>
        <v>0.26932084309133492</v>
      </c>
      <c r="AO87" s="289">
        <f>SUM(M87:R87)/SUM(M$78:R$78)</f>
        <v>0.24537953795379538</v>
      </c>
      <c r="AP87" s="103"/>
      <c r="AQ87" s="19"/>
      <c r="AR87" s="19"/>
      <c r="AS87" s="19"/>
      <c r="AT87" s="19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</row>
    <row r="88" spans="1:64" s="21" customFormat="1" ht="7.5" customHeight="1" x14ac:dyDescent="0.2">
      <c r="A88" s="138"/>
      <c r="B88" s="150"/>
      <c r="C88" s="150"/>
      <c r="D88" s="150"/>
      <c r="E88" s="150"/>
      <c r="F88" s="150"/>
      <c r="G88" s="150"/>
      <c r="H88" s="150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40"/>
      <c r="U88" s="141"/>
      <c r="V88" s="2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19"/>
      <c r="AQ88" s="19"/>
      <c r="AR88" s="19"/>
      <c r="AS88" s="19"/>
      <c r="AT88" s="19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</row>
    <row r="89" spans="1:64" x14ac:dyDescent="0.2">
      <c r="A89" s="198" t="s">
        <v>161</v>
      </c>
      <c r="B89" s="197">
        <f>341.4-20.2</f>
        <v>321.2</v>
      </c>
      <c r="C89" s="197">
        <f>290.4-12.9</f>
        <v>277.5</v>
      </c>
      <c r="D89" s="197">
        <f>227.7-6.9</f>
        <v>220.79999999999998</v>
      </c>
      <c r="E89" s="197">
        <f>270.3-18</f>
        <v>252.3</v>
      </c>
      <c r="F89" s="197">
        <f>256.5-19.9</f>
        <v>236.6</v>
      </c>
      <c r="G89" s="197">
        <f>267.4-14.8</f>
        <v>252.59999999999997</v>
      </c>
      <c r="H89" s="197">
        <f>279.9-32.4</f>
        <v>247.49999999999997</v>
      </c>
      <c r="I89" s="163">
        <f>314-29</f>
        <v>285</v>
      </c>
      <c r="J89" s="163">
        <f>343-34</f>
        <v>309</v>
      </c>
      <c r="K89" s="163">
        <f>394-35</f>
        <v>359</v>
      </c>
      <c r="L89" s="163">
        <f>387-45</f>
        <v>342</v>
      </c>
      <c r="M89" s="163">
        <f>392-25</f>
        <v>367</v>
      </c>
      <c r="N89" s="163">
        <f>380-29</f>
        <v>351</v>
      </c>
      <c r="O89" s="163">
        <f>379-29</f>
        <v>350</v>
      </c>
      <c r="P89" s="163">
        <f>379-25</f>
        <v>354</v>
      </c>
      <c r="Q89" s="163">
        <f>379-18</f>
        <v>361</v>
      </c>
      <c r="R89" s="163">
        <f>380-15</f>
        <v>365</v>
      </c>
      <c r="S89" s="163">
        <v>95</v>
      </c>
      <c r="T89" s="164">
        <f>RATE(5,,-M89,R89)</f>
        <v>-1.092301897924339E-3</v>
      </c>
      <c r="U89" s="141"/>
      <c r="V89" s="172" t="str">
        <f t="shared" si="89"/>
        <v>Interest expense (net)</v>
      </c>
      <c r="W89" s="107">
        <f t="shared" ref="W89:AK93" si="102">B89/B$78</f>
        <v>8.0563846597607153E-2</v>
      </c>
      <c r="X89" s="107">
        <f t="shared" si="102"/>
        <v>5.4888541646062862E-2</v>
      </c>
      <c r="Y89" s="107">
        <f t="shared" si="102"/>
        <v>6.5837731460774665E-2</v>
      </c>
      <c r="Z89" s="107">
        <f t="shared" si="102"/>
        <v>8.185180378925512E-2</v>
      </c>
      <c r="AA89" s="107">
        <f t="shared" si="102"/>
        <v>7.4064798873063081E-2</v>
      </c>
      <c r="AB89" s="179">
        <f t="shared" si="102"/>
        <v>8.285226974547362E-2</v>
      </c>
      <c r="AC89" s="179">
        <f t="shared" si="102"/>
        <v>6.3515282161829237E-2</v>
      </c>
      <c r="AD89" s="179">
        <f t="shared" si="102"/>
        <v>6.693283231564115E-2</v>
      </c>
      <c r="AE89" s="179">
        <f t="shared" si="102"/>
        <v>6.8697198755002228E-2</v>
      </c>
      <c r="AF89" s="179">
        <f t="shared" si="102"/>
        <v>8.0547453444020645E-2</v>
      </c>
      <c r="AG89" s="179">
        <f t="shared" si="102"/>
        <v>7.7166064981949459E-2</v>
      </c>
      <c r="AH89" s="179">
        <f t="shared" si="102"/>
        <v>8.0026166593981679E-2</v>
      </c>
      <c r="AI89" s="179">
        <f t="shared" si="102"/>
        <v>7.1896763621466617E-2</v>
      </c>
      <c r="AJ89" s="179">
        <f t="shared" si="102"/>
        <v>6.8000777151738884E-2</v>
      </c>
      <c r="AK89" s="179">
        <f t="shared" si="102"/>
        <v>6.7402894135567409E-2</v>
      </c>
      <c r="AL89" s="179">
        <f t="shared" ref="AL89:AN93" si="103">Q89/Q$78</f>
        <v>6.899847094801223E-2</v>
      </c>
      <c r="AM89" s="179">
        <f t="shared" si="103"/>
        <v>7.0178811766967886E-2</v>
      </c>
      <c r="AN89" s="179">
        <f t="shared" si="103"/>
        <v>7.4160811865729898E-2</v>
      </c>
      <c r="AO89" s="179">
        <f>SUM(M89:R89)/SUM(M$78:R$78)</f>
        <v>7.0891089108910885E-2</v>
      </c>
      <c r="AP89" s="103"/>
    </row>
    <row r="90" spans="1:64" ht="12.75" customHeight="1" x14ac:dyDescent="0.2">
      <c r="A90" s="151" t="s">
        <v>162</v>
      </c>
      <c r="B90" s="150">
        <v>-17.100000000000001</v>
      </c>
      <c r="C90" s="150">
        <v>-32.6</v>
      </c>
      <c r="D90" s="150">
        <v>-47.5</v>
      </c>
      <c r="E90" s="150">
        <v>-21.6</v>
      </c>
      <c r="F90" s="150">
        <v>-13.8</v>
      </c>
      <c r="G90" s="150">
        <v>-9.1</v>
      </c>
      <c r="H90" s="150">
        <v>-9.5</v>
      </c>
      <c r="I90" s="138">
        <v>-15</v>
      </c>
      <c r="J90" s="138">
        <v>-11</v>
      </c>
      <c r="K90" s="138">
        <v>-19</v>
      </c>
      <c r="L90" s="138">
        <v>-5</v>
      </c>
      <c r="M90" s="138">
        <v>-4</v>
      </c>
      <c r="N90" s="138">
        <v>-6</v>
      </c>
      <c r="O90" s="138">
        <v>-8</v>
      </c>
      <c r="P90" s="138">
        <v>-10</v>
      </c>
      <c r="Q90" s="138">
        <v>-11</v>
      </c>
      <c r="R90" s="138">
        <v>-15</v>
      </c>
      <c r="S90" s="138">
        <v>-3</v>
      </c>
      <c r="T90" s="140">
        <f t="shared" ref="T90:T92" si="104">RATE(5,,-M90,R90)</f>
        <v>0.30258554234867652</v>
      </c>
      <c r="U90" s="141"/>
      <c r="V90" s="2" t="str">
        <f t="shared" si="89"/>
        <v>Interest income</v>
      </c>
      <c r="W90" s="18">
        <f t="shared" si="102"/>
        <v>-4.2890466277057367E-3</v>
      </c>
      <c r="X90" s="18">
        <f t="shared" si="102"/>
        <v>-6.4481674149969347E-3</v>
      </c>
      <c r="Y90" s="18">
        <f t="shared" si="102"/>
        <v>-1.4163461251751797E-2</v>
      </c>
      <c r="Z90" s="18">
        <f t="shared" si="102"/>
        <v>-7.007526602647288E-3</v>
      </c>
      <c r="AA90" s="18">
        <f t="shared" si="102"/>
        <v>-4.3199248708718115E-3</v>
      </c>
      <c r="AB90" s="5">
        <f t="shared" si="102"/>
        <v>-2.9847808974022565E-3</v>
      </c>
      <c r="AC90" s="5">
        <f t="shared" si="102"/>
        <v>-2.4379603254035469E-3</v>
      </c>
      <c r="AD90" s="5">
        <f t="shared" si="102"/>
        <v>-3.5227806481916393E-3</v>
      </c>
      <c r="AE90" s="5">
        <f t="shared" si="102"/>
        <v>-2.4455313472654511E-3</v>
      </c>
      <c r="AF90" s="5">
        <f t="shared" si="102"/>
        <v>-4.2629571460623735E-3</v>
      </c>
      <c r="AG90" s="5">
        <f t="shared" si="102"/>
        <v>-1.1281588447653429E-3</v>
      </c>
      <c r="AH90" s="5">
        <f t="shared" si="102"/>
        <v>-8.7221979938944616E-4</v>
      </c>
      <c r="AI90" s="5">
        <f t="shared" si="102"/>
        <v>-1.2290045063498567E-3</v>
      </c>
      <c r="AJ90" s="5">
        <f t="shared" si="102"/>
        <v>-1.5543034777540316E-3</v>
      </c>
      <c r="AK90" s="5">
        <f t="shared" si="102"/>
        <v>-1.904036557501904E-3</v>
      </c>
      <c r="AL90" s="5">
        <f t="shared" si="103"/>
        <v>-2.102446483180428E-3</v>
      </c>
      <c r="AM90" s="5">
        <f t="shared" si="103"/>
        <v>-2.8840607575466256E-3</v>
      </c>
      <c r="AN90" s="5">
        <f t="shared" si="103"/>
        <v>-2.34192037470726E-3</v>
      </c>
      <c r="AO90" s="5">
        <f t="shared" ref="AO90:AO92" si="105">SUM(M90:R90)/SUM(M$78:R$78)</f>
        <v>-1.7821782178217822E-3</v>
      </c>
      <c r="AP90" s="19"/>
    </row>
    <row r="91" spans="1:64" ht="12.75" hidden="1" customHeight="1" x14ac:dyDescent="0.2">
      <c r="A91" s="151" t="s">
        <v>163</v>
      </c>
      <c r="B91" s="150">
        <v>0</v>
      </c>
      <c r="C91" s="150">
        <v>184.2</v>
      </c>
      <c r="D91" s="150">
        <v>-27.4</v>
      </c>
      <c r="E91" s="150">
        <v>0</v>
      </c>
      <c r="F91" s="150">
        <v>0</v>
      </c>
      <c r="G91" s="150">
        <v>0</v>
      </c>
      <c r="H91" s="154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141">
        <v>0</v>
      </c>
      <c r="Q91" s="141">
        <v>0</v>
      </c>
      <c r="R91" s="141"/>
      <c r="S91" s="141">
        <v>0</v>
      </c>
      <c r="T91" s="140" t="e">
        <f t="shared" si="104"/>
        <v>#NUM!</v>
      </c>
      <c r="U91" s="330"/>
      <c r="V91" s="2" t="str">
        <f t="shared" si="89"/>
        <v>Loss (Gain) on Sale of Assets</v>
      </c>
      <c r="W91" s="18">
        <f t="shared" si="102"/>
        <v>0</v>
      </c>
      <c r="X91" s="18">
        <f t="shared" si="102"/>
        <v>3.6434123860197398E-2</v>
      </c>
      <c r="Y91" s="18">
        <f t="shared" si="102"/>
        <v>-8.1700808062736673E-3</v>
      </c>
      <c r="Z91" s="18">
        <f t="shared" si="102"/>
        <v>0</v>
      </c>
      <c r="AA91" s="18">
        <f t="shared" si="102"/>
        <v>0</v>
      </c>
      <c r="AB91" s="18">
        <f t="shared" si="102"/>
        <v>0</v>
      </c>
      <c r="AC91" s="18">
        <f t="shared" si="102"/>
        <v>0</v>
      </c>
      <c r="AD91" s="18">
        <f t="shared" si="102"/>
        <v>0</v>
      </c>
      <c r="AE91" s="18">
        <f t="shared" si="102"/>
        <v>0</v>
      </c>
      <c r="AF91" s="18">
        <f t="shared" si="102"/>
        <v>0</v>
      </c>
      <c r="AG91" s="18">
        <f t="shared" si="102"/>
        <v>0</v>
      </c>
      <c r="AH91" s="18">
        <f t="shared" si="102"/>
        <v>0</v>
      </c>
      <c r="AI91" s="18">
        <f t="shared" si="102"/>
        <v>0</v>
      </c>
      <c r="AJ91" s="18">
        <f t="shared" si="102"/>
        <v>0</v>
      </c>
      <c r="AK91" s="18">
        <f t="shared" si="102"/>
        <v>0</v>
      </c>
      <c r="AL91" s="18">
        <f t="shared" si="103"/>
        <v>0</v>
      </c>
      <c r="AM91" s="18">
        <f t="shared" si="103"/>
        <v>0</v>
      </c>
      <c r="AN91" s="18">
        <f t="shared" si="103"/>
        <v>0</v>
      </c>
      <c r="AO91" s="5">
        <f t="shared" si="105"/>
        <v>0</v>
      </c>
    </row>
    <row r="92" spans="1:64" x14ac:dyDescent="0.2">
      <c r="A92" s="196" t="s">
        <v>164</v>
      </c>
      <c r="B92" s="148">
        <f>2.6-13.7</f>
        <v>-11.1</v>
      </c>
      <c r="C92" s="148">
        <v>2.7</v>
      </c>
      <c r="D92" s="148">
        <f>-1.8</f>
        <v>-1.8</v>
      </c>
      <c r="E92" s="148">
        <v>19</v>
      </c>
      <c r="F92" s="148">
        <v>1.6</v>
      </c>
      <c r="G92" s="148">
        <v>-7.3</v>
      </c>
      <c r="H92" s="149">
        <v>-6.1</v>
      </c>
      <c r="I92" s="143">
        <v>-41</v>
      </c>
      <c r="J92" s="143">
        <v>-47</v>
      </c>
      <c r="K92" s="143">
        <v>-64</v>
      </c>
      <c r="L92" s="143">
        <f>-79+1</f>
        <v>-78</v>
      </c>
      <c r="M92" s="143">
        <v>-47</v>
      </c>
      <c r="N92" s="143">
        <v>-58</v>
      </c>
      <c r="O92" s="143">
        <v>-57</v>
      </c>
      <c r="P92" s="143">
        <f>-51</f>
        <v>-51</v>
      </c>
      <c r="Q92" s="143">
        <v>-33</v>
      </c>
      <c r="R92" s="143">
        <v>-27</v>
      </c>
      <c r="S92" s="143">
        <f>-4-7</f>
        <v>-11</v>
      </c>
      <c r="T92" s="140">
        <f t="shared" si="104"/>
        <v>-0.10493787270209425</v>
      </c>
      <c r="U92" s="330"/>
      <c r="V92" s="2" t="str">
        <f t="shared" si="89"/>
        <v>Other (Income) Expense</v>
      </c>
      <c r="W92" s="6">
        <f t="shared" si="102"/>
        <v>-2.7841179864054777E-3</v>
      </c>
      <c r="X92" s="6">
        <f t="shared" si="102"/>
        <v>5.3405067547520626E-4</v>
      </c>
      <c r="Y92" s="6">
        <f t="shared" si="102"/>
        <v>-5.3672063690848914E-4</v>
      </c>
      <c r="Z92" s="6">
        <f t="shared" si="102"/>
        <v>6.1640280301064106E-3</v>
      </c>
      <c r="AA92" s="102">
        <f t="shared" si="102"/>
        <v>5.008608545938332E-4</v>
      </c>
      <c r="AB92" s="102">
        <f t="shared" si="102"/>
        <v>-2.394384675938074E-3</v>
      </c>
      <c r="AC92" s="102">
        <f t="shared" si="102"/>
        <v>-1.565427156311751E-3</v>
      </c>
      <c r="AD92" s="102">
        <f t="shared" si="102"/>
        <v>-9.6289337717238143E-3</v>
      </c>
      <c r="AE92" s="102">
        <f t="shared" si="102"/>
        <v>-1.0449088483770564E-2</v>
      </c>
      <c r="AF92" s="102">
        <f t="shared" si="102"/>
        <v>-1.4359434597262733E-2</v>
      </c>
      <c r="AG92" s="102">
        <f t="shared" si="102"/>
        <v>-1.759927797833935E-2</v>
      </c>
      <c r="AH92" s="102">
        <f t="shared" si="102"/>
        <v>-1.0248582642825993E-2</v>
      </c>
      <c r="AI92" s="102">
        <f t="shared" si="102"/>
        <v>-1.1880376894715281E-2</v>
      </c>
      <c r="AJ92" s="102">
        <f t="shared" si="102"/>
        <v>-1.1074412278997475E-2</v>
      </c>
      <c r="AK92" s="102">
        <f t="shared" si="102"/>
        <v>-9.7105864432597104E-3</v>
      </c>
      <c r="AL92" s="102">
        <f t="shared" si="103"/>
        <v>-6.3073394495412848E-3</v>
      </c>
      <c r="AM92" s="102">
        <f t="shared" si="103"/>
        <v>-5.1913093635839258E-3</v>
      </c>
      <c r="AN92" s="102">
        <f t="shared" si="103"/>
        <v>-8.5870413739266207E-3</v>
      </c>
      <c r="AO92" s="5">
        <f t="shared" si="105"/>
        <v>-9.0099009900990092E-3</v>
      </c>
    </row>
    <row r="93" spans="1:64" x14ac:dyDescent="0.2">
      <c r="A93" s="138" t="s">
        <v>201</v>
      </c>
      <c r="B93" s="150">
        <f t="shared" ref="B93:L93" si="106">SUM(B89:B92)</f>
        <v>292.99999999999994</v>
      </c>
      <c r="C93" s="150">
        <f t="shared" si="106"/>
        <v>431.8</v>
      </c>
      <c r="D93" s="150">
        <f t="shared" si="106"/>
        <v>144.09999999999997</v>
      </c>
      <c r="E93" s="150">
        <f t="shared" si="106"/>
        <v>249.70000000000002</v>
      </c>
      <c r="F93" s="150">
        <f t="shared" si="106"/>
        <v>224.39999999999998</v>
      </c>
      <c r="G93" s="150">
        <f t="shared" si="106"/>
        <v>236.19999999999996</v>
      </c>
      <c r="H93" s="150">
        <f t="shared" si="106"/>
        <v>231.89999999999998</v>
      </c>
      <c r="I93" s="138">
        <f t="shared" si="106"/>
        <v>229</v>
      </c>
      <c r="J93" s="138">
        <f>SUM(J89:J92)</f>
        <v>251</v>
      </c>
      <c r="K93" s="138">
        <f>SUM(K89:K92)</f>
        <v>276</v>
      </c>
      <c r="L93" s="138">
        <f t="shared" si="106"/>
        <v>259</v>
      </c>
      <c r="M93" s="138">
        <f t="shared" ref="M93:R93" si="107">SUM(M89:M92)</f>
        <v>316</v>
      </c>
      <c r="N93" s="138">
        <f t="shared" si="107"/>
        <v>287</v>
      </c>
      <c r="O93" s="138">
        <f t="shared" si="107"/>
        <v>285</v>
      </c>
      <c r="P93" s="138">
        <f t="shared" si="107"/>
        <v>293</v>
      </c>
      <c r="Q93" s="138">
        <f t="shared" ref="Q93" si="108">SUM(Q89:Q92)</f>
        <v>317</v>
      </c>
      <c r="R93" s="138">
        <f t="shared" si="107"/>
        <v>323</v>
      </c>
      <c r="S93" s="138">
        <f>SUM(S89:S92)</f>
        <v>81</v>
      </c>
      <c r="T93" s="287">
        <f>RATE(5,,-M93,R93)</f>
        <v>4.3916370246265173E-3</v>
      </c>
      <c r="U93" s="330"/>
      <c r="V93" s="2" t="str">
        <f t="shared" si="89"/>
        <v>Total Other (Income)/Expense</v>
      </c>
      <c r="W93" s="18">
        <f t="shared" si="102"/>
        <v>7.349068198349594E-2</v>
      </c>
      <c r="X93" s="18">
        <f t="shared" si="102"/>
        <v>8.5408548766738535E-2</v>
      </c>
      <c r="Y93" s="18">
        <f t="shared" si="102"/>
        <v>4.2967468765840705E-2</v>
      </c>
      <c r="Z93" s="18">
        <f t="shared" si="102"/>
        <v>8.1008305216714246E-2</v>
      </c>
      <c r="AA93" s="18">
        <f t="shared" si="102"/>
        <v>7.0245734856785091E-2</v>
      </c>
      <c r="AB93" s="5">
        <f t="shared" si="102"/>
        <v>7.7473104172133281E-2</v>
      </c>
      <c r="AC93" s="5">
        <f t="shared" si="102"/>
        <v>5.951189468011394E-2</v>
      </c>
      <c r="AD93" s="5">
        <f t="shared" si="102"/>
        <v>5.3781117895725691E-2</v>
      </c>
      <c r="AE93" s="5">
        <f t="shared" si="102"/>
        <v>5.5802578923966208E-2</v>
      </c>
      <c r="AF93" s="5">
        <f t="shared" si="102"/>
        <v>6.1925061700695533E-2</v>
      </c>
      <c r="AG93" s="5">
        <f t="shared" si="102"/>
        <v>5.8438628158844763E-2</v>
      </c>
      <c r="AH93" s="5">
        <f t="shared" si="102"/>
        <v>6.8905364151766249E-2</v>
      </c>
      <c r="AI93" s="5">
        <f t="shared" si="102"/>
        <v>5.8787382220401474E-2</v>
      </c>
      <c r="AJ93" s="5">
        <f t="shared" si="102"/>
        <v>5.5372061394987369E-2</v>
      </c>
      <c r="AK93" s="5">
        <f t="shared" si="102"/>
        <v>5.5788271134805785E-2</v>
      </c>
      <c r="AL93" s="5">
        <f t="shared" si="103"/>
        <v>6.0588685015290522E-2</v>
      </c>
      <c r="AM93" s="5">
        <f t="shared" si="103"/>
        <v>6.2103441645837337E-2</v>
      </c>
      <c r="AN93" s="5">
        <f t="shared" si="103"/>
        <v>6.323185011709602E-2</v>
      </c>
      <c r="AO93" s="290">
        <f>SUM(M93:R93)/SUM(M$78:R$78)</f>
        <v>6.0099009900990097E-2</v>
      </c>
    </row>
    <row r="94" spans="1:64" ht="7.5" customHeight="1" x14ac:dyDescent="0.2">
      <c r="A94" s="138"/>
      <c r="B94" s="154"/>
      <c r="C94" s="154"/>
      <c r="D94" s="154"/>
      <c r="E94" s="154"/>
      <c r="F94" s="154"/>
      <c r="G94" s="154"/>
      <c r="H94" s="154"/>
      <c r="I94" s="141"/>
      <c r="J94" s="141"/>
      <c r="K94" s="141"/>
      <c r="L94" s="266"/>
      <c r="M94" s="266"/>
      <c r="N94" s="266"/>
      <c r="O94" s="266"/>
      <c r="P94" s="266"/>
      <c r="Q94" s="266"/>
      <c r="R94" s="266"/>
      <c r="S94" s="266"/>
      <c r="T94" s="140"/>
      <c r="U94" s="330"/>
      <c r="W94" s="18"/>
      <c r="X94" s="18"/>
      <c r="Y94" s="18"/>
      <c r="Z94" s="18"/>
      <c r="AA94" s="18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64" x14ac:dyDescent="0.2">
      <c r="A95" s="163" t="s">
        <v>12</v>
      </c>
      <c r="B95" s="199">
        <f t="shared" ref="B95:G95" si="109">B87-B93</f>
        <v>412.09999999999997</v>
      </c>
      <c r="C95" s="199">
        <f t="shared" si="109"/>
        <v>92.199999999999989</v>
      </c>
      <c r="D95" s="199">
        <f t="shared" si="109"/>
        <v>469.49999999999994</v>
      </c>
      <c r="E95" s="199">
        <f t="shared" si="109"/>
        <v>239.19999999999962</v>
      </c>
      <c r="F95" s="199">
        <f t="shared" si="109"/>
        <v>393.49999999999966</v>
      </c>
      <c r="G95" s="199">
        <f t="shared" si="109"/>
        <v>420.20000000000016</v>
      </c>
      <c r="H95" s="199">
        <f t="shared" ref="H95:P95" si="110">H87-H93</f>
        <v>560.09999999999957</v>
      </c>
      <c r="I95" s="189">
        <f t="shared" si="110"/>
        <v>665</v>
      </c>
      <c r="J95" s="189">
        <f t="shared" si="110"/>
        <v>703</v>
      </c>
      <c r="K95" s="189">
        <f t="shared" si="110"/>
        <v>784</v>
      </c>
      <c r="L95" s="189">
        <f t="shared" si="110"/>
        <v>777</v>
      </c>
      <c r="M95" s="189">
        <f>M87-M93</f>
        <v>768</v>
      </c>
      <c r="N95" s="189">
        <f>N87-N93</f>
        <v>734</v>
      </c>
      <c r="O95" s="189">
        <f>O87-O93</f>
        <v>979</v>
      </c>
      <c r="P95" s="189">
        <f t="shared" si="110"/>
        <v>1007</v>
      </c>
      <c r="Q95" s="189">
        <f>Q87-Q93</f>
        <v>1023</v>
      </c>
      <c r="R95" s="189">
        <f>R87-R93</f>
        <v>1103</v>
      </c>
      <c r="S95" s="189">
        <f>S87-S93</f>
        <v>264</v>
      </c>
      <c r="T95" s="164">
        <f>RATE(5,,-M95,R95)</f>
        <v>7.5085138685917305E-2</v>
      </c>
      <c r="U95" s="141"/>
      <c r="V95" s="172" t="str">
        <f t="shared" si="89"/>
        <v>Earnings Before Taxes</v>
      </c>
      <c r="W95" s="179">
        <f t="shared" ref="W95:AK95" si="111">B95/B$78</f>
        <v>0.10336351551330607</v>
      </c>
      <c r="X95" s="179">
        <f t="shared" si="111"/>
        <v>1.8236841584745929E-2</v>
      </c>
      <c r="Y95" s="179">
        <f t="shared" si="111"/>
        <v>0.13999463279363092</v>
      </c>
      <c r="Z95" s="179">
        <f t="shared" si="111"/>
        <v>7.760186867376058E-2</v>
      </c>
      <c r="AA95" s="179">
        <f t="shared" si="111"/>
        <v>0.12318046642667073</v>
      </c>
      <c r="AB95" s="179">
        <f t="shared" si="111"/>
        <v>0.13782471792180534</v>
      </c>
      <c r="AC95" s="179">
        <f t="shared" si="111"/>
        <v>0.14373700823773952</v>
      </c>
      <c r="AD95" s="179">
        <f t="shared" si="111"/>
        <v>0.156176608736496</v>
      </c>
      <c r="AE95" s="179">
        <f t="shared" si="111"/>
        <v>0.15629168519341929</v>
      </c>
      <c r="AF95" s="179">
        <f t="shared" si="111"/>
        <v>0.17590307381646847</v>
      </c>
      <c r="AG95" s="179">
        <f t="shared" si="111"/>
        <v>0.17531588447653429</v>
      </c>
      <c r="AH95" s="179">
        <f t="shared" si="111"/>
        <v>0.16746620148277366</v>
      </c>
      <c r="AI95" s="179">
        <f t="shared" si="111"/>
        <v>0.15034821794346578</v>
      </c>
      <c r="AJ95" s="179">
        <f t="shared" si="111"/>
        <v>0.1902078880901496</v>
      </c>
      <c r="AK95" s="179">
        <f t="shared" si="111"/>
        <v>0.19173648134044174</v>
      </c>
      <c r="AL95" s="179">
        <f t="shared" ref="AL95:AN95" si="112">Q95/Q$78</f>
        <v>0.19552752293577982</v>
      </c>
      <c r="AM95" s="179">
        <f t="shared" si="112"/>
        <v>0.21207460103826187</v>
      </c>
      <c r="AN95" s="179">
        <f t="shared" si="112"/>
        <v>0.20608899297423888</v>
      </c>
      <c r="AO95" s="179">
        <f>SUM(M95:R95)/SUM(M$78:R$78)</f>
        <v>0.18528052805280529</v>
      </c>
    </row>
    <row r="96" spans="1:64" ht="7.5" customHeight="1" x14ac:dyDescent="0.2">
      <c r="A96" s="138"/>
      <c r="B96" s="154"/>
      <c r="C96" s="154"/>
      <c r="D96" s="154"/>
      <c r="E96" s="154"/>
      <c r="F96" s="154"/>
      <c r="G96" s="154"/>
      <c r="H96" s="154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0"/>
      <c r="U96" s="141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3" x14ac:dyDescent="0.2">
      <c r="A97" s="138" t="s">
        <v>43</v>
      </c>
      <c r="B97" s="150">
        <f>195.5+-1.1</f>
        <v>194.4</v>
      </c>
      <c r="C97" s="150">
        <v>0</v>
      </c>
      <c r="D97" s="150">
        <f>-146.7+112.8</f>
        <v>-33.899999999999991</v>
      </c>
      <c r="E97" s="150">
        <v>1.9</v>
      </c>
      <c r="F97" s="150">
        <v>0.9</v>
      </c>
      <c r="G97" s="150">
        <v>0</v>
      </c>
      <c r="H97" s="150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40"/>
      <c r="U97" s="330"/>
      <c r="V97" s="2" t="str">
        <f t="shared" si="89"/>
        <v>Extraordinary Items</v>
      </c>
      <c r="W97" s="5">
        <f t="shared" ref="W97:AK99" si="113">B97/B$78</f>
        <v>4.8759687978128373E-2</v>
      </c>
      <c r="X97" s="5">
        <f t="shared" si="113"/>
        <v>0</v>
      </c>
      <c r="Y97" s="5">
        <f t="shared" si="113"/>
        <v>-1.0108238661776544E-2</v>
      </c>
      <c r="Z97" s="5">
        <f t="shared" si="113"/>
        <v>6.16402803010641E-4</v>
      </c>
      <c r="AA97" s="5">
        <f t="shared" si="113"/>
        <v>2.8173423070903115E-4</v>
      </c>
      <c r="AB97" s="5">
        <f t="shared" si="113"/>
        <v>0</v>
      </c>
      <c r="AC97" s="5">
        <f t="shared" si="113"/>
        <v>0</v>
      </c>
      <c r="AD97" s="5">
        <f t="shared" si="113"/>
        <v>0</v>
      </c>
      <c r="AE97" s="5">
        <f t="shared" si="113"/>
        <v>0</v>
      </c>
      <c r="AF97" s="5">
        <f t="shared" si="113"/>
        <v>0</v>
      </c>
      <c r="AG97" s="5">
        <f t="shared" si="113"/>
        <v>0</v>
      </c>
      <c r="AH97" s="5">
        <f t="shared" si="113"/>
        <v>0</v>
      </c>
      <c r="AI97" s="5">
        <f t="shared" si="113"/>
        <v>0</v>
      </c>
      <c r="AJ97" s="5">
        <f t="shared" si="113"/>
        <v>0</v>
      </c>
      <c r="AK97" s="5">
        <f t="shared" si="113"/>
        <v>0</v>
      </c>
      <c r="AL97" s="5">
        <f t="shared" ref="AL97:AN99" si="114">Q97/Q$78</f>
        <v>0</v>
      </c>
      <c r="AM97" s="5">
        <f t="shared" si="114"/>
        <v>0</v>
      </c>
      <c r="AN97" s="5">
        <f t="shared" si="114"/>
        <v>0</v>
      </c>
      <c r="AO97" s="5">
        <f t="shared" ref="AO97:AO98" si="115">SUM(M97:R97)/SUM(M$78:R$78)</f>
        <v>0</v>
      </c>
    </row>
    <row r="98" spans="1:43" x14ac:dyDescent="0.2">
      <c r="A98" s="138" t="s">
        <v>15</v>
      </c>
      <c r="B98" s="148">
        <v>134</v>
      </c>
      <c r="C98" s="148">
        <v>180.4</v>
      </c>
      <c r="D98" s="148">
        <v>176.1</v>
      </c>
      <c r="E98" s="148">
        <v>97.2</v>
      </c>
      <c r="F98" s="148">
        <v>144.5</v>
      </c>
      <c r="G98" s="148">
        <v>168.5</v>
      </c>
      <c r="H98" s="149">
        <v>199.4</v>
      </c>
      <c r="I98" s="143">
        <v>220</v>
      </c>
      <c r="J98" s="141">
        <v>238</v>
      </c>
      <c r="K98" s="141">
        <v>234</v>
      </c>
      <c r="L98" s="141">
        <v>211</v>
      </c>
      <c r="M98" s="141">
        <v>213</v>
      </c>
      <c r="N98" s="141">
        <v>197</v>
      </c>
      <c r="O98" s="141">
        <v>297</v>
      </c>
      <c r="P98" s="141">
        <v>309</v>
      </c>
      <c r="Q98" s="141">
        <v>328</v>
      </c>
      <c r="R98" s="141">
        <v>340</v>
      </c>
      <c r="S98" s="141">
        <v>85</v>
      </c>
      <c r="T98" s="140">
        <f>RATE(5,,-M98,R98)</f>
        <v>9.8044302222319399E-2</v>
      </c>
      <c r="U98" s="330"/>
      <c r="V98" s="2" t="str">
        <f t="shared" si="89"/>
        <v>Income Taxes</v>
      </c>
      <c r="W98" s="6">
        <f t="shared" si="113"/>
        <v>3.3610072989039105E-2</v>
      </c>
      <c r="X98" s="6">
        <f t="shared" si="113"/>
        <v>3.5682496983602666E-2</v>
      </c>
      <c r="Y98" s="6">
        <f t="shared" si="113"/>
        <v>5.2509168977547191E-2</v>
      </c>
      <c r="Z98" s="6">
        <f t="shared" si="113"/>
        <v>3.1533869711912799E-2</v>
      </c>
      <c r="AA98" s="18">
        <f t="shared" si="113"/>
        <v>4.5233995930505554E-2</v>
      </c>
      <c r="AB98" s="5">
        <f t="shared" si="113"/>
        <v>5.5267646287063758E-2</v>
      </c>
      <c r="AC98" s="5">
        <f t="shared" si="113"/>
        <v>5.1171504093207074E-2</v>
      </c>
      <c r="AD98" s="5">
        <f t="shared" si="113"/>
        <v>5.1667449506810709E-2</v>
      </c>
      <c r="AE98" s="5">
        <f t="shared" si="113"/>
        <v>5.2912405513561585E-2</v>
      </c>
      <c r="AF98" s="5">
        <f t="shared" si="113"/>
        <v>5.2501682746241868E-2</v>
      </c>
      <c r="AG98" s="5">
        <f t="shared" si="113"/>
        <v>4.7608303249097469E-2</v>
      </c>
      <c r="AH98" s="5">
        <f t="shared" si="113"/>
        <v>4.6445704317488005E-2</v>
      </c>
      <c r="AI98" s="5">
        <f t="shared" si="113"/>
        <v>4.0352314625153624E-2</v>
      </c>
      <c r="AJ98" s="5">
        <f t="shared" si="113"/>
        <v>5.7703516611618419E-2</v>
      </c>
      <c r="AK98" s="5">
        <f t="shared" si="113"/>
        <v>5.8834729626808836E-2</v>
      </c>
      <c r="AL98" s="5">
        <f t="shared" si="114"/>
        <v>6.2691131498470942E-2</v>
      </c>
      <c r="AM98" s="5">
        <f t="shared" si="114"/>
        <v>6.537204383772352E-2</v>
      </c>
      <c r="AN98" s="5">
        <f t="shared" si="114"/>
        <v>6.6354410616705703E-2</v>
      </c>
      <c r="AO98" s="5">
        <f t="shared" si="115"/>
        <v>5.5577557755775581E-2</v>
      </c>
      <c r="AQ98" s="5">
        <f>AG98/AG95</f>
        <v>0.27155727155727155</v>
      </c>
    </row>
    <row r="99" spans="1:43" ht="13.5" thickBot="1" x14ac:dyDescent="0.25">
      <c r="A99" s="163" t="s">
        <v>17</v>
      </c>
      <c r="B99" s="200">
        <f t="shared" ref="B99:L99" si="116">B95-B97-B98</f>
        <v>83.69999999999996</v>
      </c>
      <c r="C99" s="200">
        <f t="shared" si="116"/>
        <v>-88.200000000000017</v>
      </c>
      <c r="D99" s="200">
        <f t="shared" si="116"/>
        <v>327.29999999999995</v>
      </c>
      <c r="E99" s="200">
        <f t="shared" si="116"/>
        <v>140.09999999999962</v>
      </c>
      <c r="F99" s="200">
        <f t="shared" si="116"/>
        <v>248.09999999999968</v>
      </c>
      <c r="G99" s="200">
        <f t="shared" si="116"/>
        <v>251.70000000000016</v>
      </c>
      <c r="H99" s="201">
        <f t="shared" si="116"/>
        <v>360.69999999999959</v>
      </c>
      <c r="I99" s="188">
        <f t="shared" si="116"/>
        <v>445</v>
      </c>
      <c r="J99" s="188">
        <f t="shared" si="116"/>
        <v>465</v>
      </c>
      <c r="K99" s="188">
        <f t="shared" si="116"/>
        <v>550</v>
      </c>
      <c r="L99" s="188">
        <f t="shared" si="116"/>
        <v>566</v>
      </c>
      <c r="M99" s="188">
        <f t="shared" ref="M99:R99" si="117">M95-M97-M98</f>
        <v>555</v>
      </c>
      <c r="N99" s="188">
        <f t="shared" si="117"/>
        <v>537</v>
      </c>
      <c r="O99" s="188">
        <f t="shared" si="117"/>
        <v>682</v>
      </c>
      <c r="P99" s="188">
        <f t="shared" si="117"/>
        <v>698</v>
      </c>
      <c r="Q99" s="188">
        <f t="shared" ref="Q99" si="118">Q95-Q97-Q98</f>
        <v>695</v>
      </c>
      <c r="R99" s="188">
        <f t="shared" si="117"/>
        <v>763</v>
      </c>
      <c r="S99" s="188">
        <f>S95-S97-S98</f>
        <v>179</v>
      </c>
      <c r="T99" s="284">
        <f>RATE(5,,-M99,R99)</f>
        <v>6.5727839924832387E-2</v>
      </c>
      <c r="U99" s="334"/>
      <c r="V99" s="2" t="str">
        <f t="shared" si="89"/>
        <v>Net Income</v>
      </c>
      <c r="W99" s="7">
        <f t="shared" si="113"/>
        <v>2.0993754546138593E-2</v>
      </c>
      <c r="X99" s="7">
        <f t="shared" si="113"/>
        <v>-1.744565539885674E-2</v>
      </c>
      <c r="Y99" s="7">
        <f t="shared" si="113"/>
        <v>9.759370247786027E-2</v>
      </c>
      <c r="Z99" s="7">
        <f t="shared" si="113"/>
        <v>4.5451596158837149E-2</v>
      </c>
      <c r="AA99" s="184">
        <f t="shared" si="113"/>
        <v>7.7664736265456155E-2</v>
      </c>
      <c r="AB99" s="184">
        <f t="shared" si="113"/>
        <v>8.2557071634741588E-2</v>
      </c>
      <c r="AC99" s="184">
        <f t="shared" si="113"/>
        <v>9.2565504144532448E-2</v>
      </c>
      <c r="AD99" s="184">
        <f t="shared" si="113"/>
        <v>0.1045091592296853</v>
      </c>
      <c r="AE99" s="184">
        <f t="shared" si="113"/>
        <v>0.10337927967985772</v>
      </c>
      <c r="AF99" s="184">
        <f t="shared" si="113"/>
        <v>0.12340139107022662</v>
      </c>
      <c r="AG99" s="184">
        <f t="shared" si="113"/>
        <v>0.12770758122743683</v>
      </c>
      <c r="AH99" s="184">
        <f t="shared" si="113"/>
        <v>0.12102049716528565</v>
      </c>
      <c r="AI99" s="184">
        <f t="shared" si="113"/>
        <v>0.10999590331831216</v>
      </c>
      <c r="AJ99" s="184">
        <f t="shared" si="113"/>
        <v>0.1325043714785312</v>
      </c>
      <c r="AK99" s="184">
        <f t="shared" si="113"/>
        <v>0.13290175171363292</v>
      </c>
      <c r="AL99" s="184">
        <f t="shared" si="114"/>
        <v>0.13283639143730888</v>
      </c>
      <c r="AM99" s="184">
        <f t="shared" si="114"/>
        <v>0.14670255720053835</v>
      </c>
      <c r="AN99" s="184">
        <f t="shared" si="114"/>
        <v>0.13973458235753317</v>
      </c>
      <c r="AO99" s="289">
        <f>SUM(M99:R99)/SUM(M$78:R$78)</f>
        <v>0.12970297029702971</v>
      </c>
    </row>
    <row r="100" spans="1:43" ht="13.5" thickTop="1" x14ac:dyDescent="0.2">
      <c r="A100" s="163"/>
      <c r="B100" s="197"/>
      <c r="C100" s="197"/>
      <c r="D100" s="197"/>
      <c r="E100" s="197"/>
      <c r="F100" s="197"/>
      <c r="G100" s="197"/>
      <c r="H100" s="197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46"/>
      <c r="U100" s="138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226"/>
    </row>
    <row r="101" spans="1:43" x14ac:dyDescent="0.2">
      <c r="A101" s="138" t="s">
        <v>46</v>
      </c>
      <c r="B101" s="150">
        <v>18.899999999999999</v>
      </c>
      <c r="C101" s="150">
        <v>17.899999999999999</v>
      </c>
      <c r="D101" s="150">
        <v>12.7</v>
      </c>
      <c r="E101" s="150">
        <v>7.3</v>
      </c>
      <c r="F101" s="150">
        <v>3.3</v>
      </c>
      <c r="G101" s="150">
        <v>2.1</v>
      </c>
      <c r="H101" s="150">
        <v>2.1</v>
      </c>
      <c r="I101" s="138">
        <v>2</v>
      </c>
      <c r="J101" s="138">
        <v>2</v>
      </c>
      <c r="K101" s="138">
        <v>2</v>
      </c>
      <c r="L101" s="138">
        <v>2</v>
      </c>
      <c r="M101" s="138">
        <v>2</v>
      </c>
      <c r="N101" s="138">
        <v>2</v>
      </c>
      <c r="O101" s="138">
        <v>2</v>
      </c>
      <c r="P101" s="139">
        <v>0.1</v>
      </c>
      <c r="Q101" s="139">
        <v>0.1</v>
      </c>
      <c r="R101" s="139">
        <v>0</v>
      </c>
      <c r="S101" s="139">
        <v>0</v>
      </c>
      <c r="T101" s="140">
        <f>RATE(5,,-M101,R101)</f>
        <v>-0.99999940914518248</v>
      </c>
      <c r="U101" s="138"/>
      <c r="V101" s="2" t="str">
        <f t="shared" si="89"/>
        <v>Preferred Stock Dividends</v>
      </c>
      <c r="W101" s="5">
        <f t="shared" ref="W101:Z102" si="119">B101/B$99</f>
        <v>0.2258064516129033</v>
      </c>
      <c r="X101" s="5">
        <f t="shared" si="119"/>
        <v>-0.20294784580498862</v>
      </c>
      <c r="Y101" s="5">
        <f t="shared" si="119"/>
        <v>3.8802322028719832E-2</v>
      </c>
      <c r="Z101" s="5">
        <f t="shared" si="119"/>
        <v>5.2105638829407705E-2</v>
      </c>
      <c r="AA101" s="5">
        <f t="shared" ref="AA101:AK102" si="120">F101/F$78</f>
        <v>1.0330255125997809E-3</v>
      </c>
      <c r="AB101" s="5">
        <f t="shared" si="120"/>
        <v>6.887955917082131E-4</v>
      </c>
      <c r="AC101" s="5">
        <f t="shared" si="120"/>
        <v>5.3891754561552084E-4</v>
      </c>
      <c r="AD101" s="5">
        <f t="shared" si="120"/>
        <v>4.6970408642555192E-4</v>
      </c>
      <c r="AE101" s="5">
        <f t="shared" si="120"/>
        <v>4.4464206313917296E-4</v>
      </c>
      <c r="AF101" s="5">
        <f t="shared" si="120"/>
        <v>4.4873233116446041E-4</v>
      </c>
      <c r="AG101" s="5">
        <f t="shared" si="120"/>
        <v>4.512635379061372E-4</v>
      </c>
      <c r="AH101" s="5">
        <f t="shared" si="120"/>
        <v>4.3610989969472308E-4</v>
      </c>
      <c r="AI101" s="5">
        <f t="shared" si="120"/>
        <v>4.0966816878328555E-4</v>
      </c>
      <c r="AJ101" s="5">
        <f t="shared" si="120"/>
        <v>3.885758694385079E-4</v>
      </c>
      <c r="AK101" s="5">
        <f t="shared" si="120"/>
        <v>1.9040365575019042E-5</v>
      </c>
      <c r="AL101" s="5">
        <f t="shared" ref="AL101:AN102" si="121">Q101/Q$78</f>
        <v>1.9113149847094803E-5</v>
      </c>
      <c r="AM101" s="5">
        <f t="shared" si="121"/>
        <v>0</v>
      </c>
      <c r="AN101" s="5">
        <f t="shared" si="121"/>
        <v>0</v>
      </c>
      <c r="AO101" s="5">
        <f t="shared" ref="AO101:AO102" si="122">SUM(M101:R101)/SUM(M$78:R$78)</f>
        <v>2.046204620462046E-4</v>
      </c>
    </row>
    <row r="102" spans="1:43" x14ac:dyDescent="0.2">
      <c r="A102" s="138" t="s">
        <v>47</v>
      </c>
      <c r="B102" s="150">
        <f>269.5-B101</f>
        <v>250.6</v>
      </c>
      <c r="C102" s="150">
        <f>347.7-C101</f>
        <v>329.8</v>
      </c>
      <c r="D102" s="150">
        <f>310.3-D101</f>
        <v>297.60000000000002</v>
      </c>
      <c r="E102" s="150">
        <f>7.3-E101</f>
        <v>0</v>
      </c>
      <c r="F102" s="150">
        <v>160.6</v>
      </c>
      <c r="G102" s="150">
        <f>195.4-G101</f>
        <v>193.3</v>
      </c>
      <c r="H102" s="150">
        <v>175</v>
      </c>
      <c r="I102" s="138">
        <v>0</v>
      </c>
      <c r="J102" s="138">
        <v>0</v>
      </c>
      <c r="K102" s="138">
        <v>0</v>
      </c>
      <c r="L102" s="138">
        <v>0</v>
      </c>
      <c r="M102" s="138">
        <v>550</v>
      </c>
      <c r="N102" s="138">
        <v>200</v>
      </c>
      <c r="O102" s="138">
        <v>500</v>
      </c>
      <c r="P102" s="138">
        <v>725</v>
      </c>
      <c r="Q102" s="138">
        <v>950</v>
      </c>
      <c r="R102" s="138">
        <v>875</v>
      </c>
      <c r="S102" s="138">
        <v>100</v>
      </c>
      <c r="T102" s="140"/>
      <c r="U102" s="138"/>
      <c r="V102" s="2" t="str">
        <f t="shared" si="89"/>
        <v>Common Stock Dividends</v>
      </c>
      <c r="W102" s="5">
        <f t="shared" si="119"/>
        <v>2.9940262843488665</v>
      </c>
      <c r="X102" s="5">
        <f t="shared" si="119"/>
        <v>-3.73922902494331</v>
      </c>
      <c r="Y102" s="5">
        <f t="shared" si="119"/>
        <v>0.90925756186984441</v>
      </c>
      <c r="Z102" s="5">
        <f t="shared" si="119"/>
        <v>0</v>
      </c>
      <c r="AA102" s="5">
        <f t="shared" si="120"/>
        <v>5.0273908279855999E-2</v>
      </c>
      <c r="AB102" s="5">
        <f t="shared" si="120"/>
        <v>6.3401994227236941E-2</v>
      </c>
      <c r="AC102" s="5">
        <f t="shared" si="120"/>
        <v>4.4909795467960069E-2</v>
      </c>
      <c r="AD102" s="5">
        <f t="shared" si="120"/>
        <v>0</v>
      </c>
      <c r="AE102" s="5">
        <f t="shared" si="120"/>
        <v>0</v>
      </c>
      <c r="AF102" s="5">
        <f t="shared" si="120"/>
        <v>0</v>
      </c>
      <c r="AG102" s="5">
        <f t="shared" si="120"/>
        <v>0</v>
      </c>
      <c r="AH102" s="5">
        <f t="shared" si="120"/>
        <v>0.11993022241604885</v>
      </c>
      <c r="AI102" s="5">
        <f t="shared" si="120"/>
        <v>4.0966816878328552E-2</v>
      </c>
      <c r="AJ102" s="5">
        <f t="shared" si="120"/>
        <v>9.7143967359626965E-2</v>
      </c>
      <c r="AK102" s="5">
        <f t="shared" si="120"/>
        <v>0.13804265041888805</v>
      </c>
      <c r="AL102" s="5">
        <f t="shared" si="121"/>
        <v>0.18157492354740062</v>
      </c>
      <c r="AM102" s="5">
        <f t="shared" si="121"/>
        <v>0.16823687752355315</v>
      </c>
      <c r="AN102" s="5">
        <f t="shared" si="121"/>
        <v>7.8064012490242002E-2</v>
      </c>
      <c r="AO102" s="5">
        <f t="shared" si="122"/>
        <v>0.1254125412541254</v>
      </c>
    </row>
    <row r="103" spans="1:43" x14ac:dyDescent="0.2">
      <c r="A103" s="139"/>
      <c r="B103" s="150" t="s">
        <v>151</v>
      </c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38"/>
      <c r="Q103" s="138"/>
      <c r="R103" s="138"/>
      <c r="S103" s="138"/>
      <c r="T103" s="140"/>
      <c r="U103" s="138"/>
      <c r="V103" s="14"/>
      <c r="W103" s="155" t="s">
        <v>150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3" x14ac:dyDescent="0.2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40"/>
      <c r="U104" s="138"/>
      <c r="W104" s="138"/>
      <c r="X104" s="138"/>
      <c r="Y104" s="138"/>
      <c r="Z104" s="138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</row>
    <row r="105" spans="1:43" x14ac:dyDescent="0.2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40"/>
      <c r="U105" s="138"/>
      <c r="X105" s="138"/>
      <c r="Y105" s="138"/>
      <c r="Z105" s="138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</row>
    <row r="106" spans="1:43" x14ac:dyDescent="0.2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92" t="s">
        <v>113</v>
      </c>
      <c r="U106" s="138"/>
      <c r="W106" s="138"/>
      <c r="X106" s="138"/>
      <c r="Y106" s="138"/>
      <c r="Z106" s="138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</row>
    <row r="107" spans="1:43" x14ac:dyDescent="0.2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333" t="s">
        <v>117</v>
      </c>
      <c r="U107" s="138"/>
      <c r="W107" s="138"/>
      <c r="X107" s="138"/>
      <c r="Y107" s="138"/>
      <c r="Z107" s="138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</row>
    <row r="108" spans="1:43" ht="18.75" x14ac:dyDescent="0.3">
      <c r="A108" s="134" t="str">
        <f>A4</f>
        <v>PacifiCorp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8"/>
      <c r="W108" s="138"/>
      <c r="X108" s="138"/>
      <c r="Y108" s="138"/>
      <c r="Z108" s="138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</row>
    <row r="109" spans="1:43" ht="15.75" x14ac:dyDescent="0.25">
      <c r="A109" s="136" t="s">
        <v>41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7"/>
      <c r="U109" s="138"/>
      <c r="W109" s="138"/>
      <c r="X109" s="138"/>
      <c r="Y109" s="138"/>
      <c r="Z109" s="138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</row>
    <row r="110" spans="1:43" ht="14.25" x14ac:dyDescent="0.2">
      <c r="A110" s="221" t="str">
        <f>A6</f>
        <v>Fiscal Years Ended December 31, 2011-2016; Three Months Ended March 31, 2017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7"/>
      <c r="U110" s="138"/>
      <c r="W110" s="138"/>
      <c r="X110" s="138"/>
      <c r="Y110" s="138"/>
      <c r="Z110" s="138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</row>
    <row r="111" spans="1:43" ht="14.25" x14ac:dyDescent="0.2">
      <c r="A111" s="221" t="str">
        <f>A7</f>
        <v xml:space="preserve">  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7"/>
      <c r="U111" s="138"/>
      <c r="W111" s="138"/>
      <c r="X111" s="138"/>
      <c r="Y111" s="138"/>
      <c r="Z111" s="138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</row>
    <row r="112" spans="1:43" x14ac:dyDescent="0.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40"/>
      <c r="U112" s="138"/>
      <c r="W112" s="138"/>
      <c r="X112" s="138"/>
      <c r="Y112" s="138"/>
      <c r="Z112" s="138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</row>
    <row r="113" spans="1:41" x14ac:dyDescent="0.2">
      <c r="A113" s="163"/>
      <c r="B113" s="163"/>
      <c r="C113" s="163"/>
      <c r="D113" s="163"/>
      <c r="E113" s="163"/>
      <c r="F113" s="163"/>
      <c r="G113" s="163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 t="str">
        <f>S9</f>
        <v>3 Mos.</v>
      </c>
      <c r="T113" s="168" t="str">
        <f>T8</f>
        <v>2011-2016</v>
      </c>
      <c r="U113" s="138"/>
      <c r="W113" s="138"/>
      <c r="X113" s="138"/>
      <c r="Y113" s="138"/>
      <c r="Z113" s="138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</row>
    <row r="114" spans="1:41" x14ac:dyDescent="0.2">
      <c r="A114" s="185" t="s">
        <v>26</v>
      </c>
      <c r="B114" s="166">
        <f t="shared" ref="B114:H114" si="123">W10</f>
        <v>2000</v>
      </c>
      <c r="C114" s="166">
        <f t="shared" si="123"/>
        <v>2001</v>
      </c>
      <c r="D114" s="166">
        <f t="shared" si="123"/>
        <v>2002</v>
      </c>
      <c r="E114" s="166">
        <f t="shared" si="123"/>
        <v>2003</v>
      </c>
      <c r="F114" s="166">
        <f t="shared" si="123"/>
        <v>2004</v>
      </c>
      <c r="G114" s="166">
        <f t="shared" si="123"/>
        <v>2005</v>
      </c>
      <c r="H114" s="166">
        <f t="shared" si="123"/>
        <v>2006</v>
      </c>
      <c r="I114" s="166">
        <f>AD75</f>
        <v>2007</v>
      </c>
      <c r="J114" s="166">
        <f t="shared" ref="J114:O114" si="124">J10</f>
        <v>2008</v>
      </c>
      <c r="K114" s="166">
        <f t="shared" si="124"/>
        <v>2009</v>
      </c>
      <c r="L114" s="166">
        <f t="shared" si="124"/>
        <v>2010</v>
      </c>
      <c r="M114" s="166">
        <f t="shared" si="124"/>
        <v>2011</v>
      </c>
      <c r="N114" s="166">
        <f t="shared" si="124"/>
        <v>2012</v>
      </c>
      <c r="O114" s="166">
        <f t="shared" si="124"/>
        <v>2013</v>
      </c>
      <c r="P114" s="166">
        <f>P75</f>
        <v>2014</v>
      </c>
      <c r="Q114" s="280">
        <f>Q10</f>
        <v>2015</v>
      </c>
      <c r="R114" s="280">
        <f>R10</f>
        <v>2016</v>
      </c>
      <c r="S114" s="327" t="str">
        <f>S10</f>
        <v>Mar. 2017</v>
      </c>
      <c r="T114" s="171" t="s">
        <v>3</v>
      </c>
      <c r="U114" s="138"/>
      <c r="W114" s="138"/>
      <c r="X114" s="138"/>
      <c r="Y114" s="138"/>
      <c r="Z114" s="138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</row>
    <row r="115" spans="1:41" ht="7.5" customHeight="1" x14ac:dyDescent="0.2">
      <c r="A115" s="141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7"/>
      <c r="U115" s="138"/>
      <c r="W115" s="138"/>
      <c r="X115" s="138"/>
      <c r="Y115" s="138"/>
      <c r="Z115" s="138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</row>
    <row r="116" spans="1:41" ht="12.75" customHeight="1" x14ac:dyDescent="0.2">
      <c r="A116" s="165" t="s">
        <v>29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40"/>
      <c r="U116" s="138"/>
      <c r="W116" s="138"/>
      <c r="X116" s="138"/>
      <c r="Y116" s="138"/>
      <c r="Z116" s="138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</row>
    <row r="117" spans="1:41" ht="12.75" customHeight="1" x14ac:dyDescent="0.2">
      <c r="A117" s="138" t="s">
        <v>7</v>
      </c>
      <c r="B117" s="158">
        <f t="shared" ref="B117:L117" si="125">B17/B48</f>
        <v>0.87684729064039402</v>
      </c>
      <c r="C117" s="158">
        <f t="shared" si="125"/>
        <v>0.84773919560329747</v>
      </c>
      <c r="D117" s="158">
        <f t="shared" si="125"/>
        <v>0.62470211192374059</v>
      </c>
      <c r="E117" s="158">
        <f t="shared" si="125"/>
        <v>0.90747863247863247</v>
      </c>
      <c r="F117" s="158">
        <f t="shared" si="125"/>
        <v>0.70408638183002892</v>
      </c>
      <c r="G117" s="158">
        <f t="shared" si="125"/>
        <v>0.76003004318708134</v>
      </c>
      <c r="H117" s="158">
        <f t="shared" si="125"/>
        <v>0.83488199983553968</v>
      </c>
      <c r="I117" s="158">
        <f t="shared" si="125"/>
        <v>1.1241431835491242</v>
      </c>
      <c r="J117" s="158">
        <f t="shared" si="125"/>
        <v>0.93860845839017737</v>
      </c>
      <c r="K117" s="158">
        <f t="shared" si="125"/>
        <v>1.5518262586377098</v>
      </c>
      <c r="L117" s="158">
        <f t="shared" si="125"/>
        <v>1.0851472471190782</v>
      </c>
      <c r="M117" s="158">
        <f t="shared" ref="M117:S117" si="126">M17/M48</f>
        <v>0.81753031973539136</v>
      </c>
      <c r="N117" s="158">
        <f t="shared" si="126"/>
        <v>1.1433021806853583</v>
      </c>
      <c r="O117" s="158">
        <f t="shared" si="126"/>
        <v>1.1318681318681318</v>
      </c>
      <c r="P117" s="158">
        <f t="shared" si="126"/>
        <v>1.3366071428571429</v>
      </c>
      <c r="Q117" s="158">
        <f t="shared" ref="Q117" si="127">Q17/Q48</f>
        <v>1.2857142857142858</v>
      </c>
      <c r="R117" s="158">
        <f t="shared" si="126"/>
        <v>1.1292743953294413</v>
      </c>
      <c r="S117" s="158">
        <f t="shared" si="126"/>
        <v>1.1579961464354529</v>
      </c>
      <c r="T117" s="158">
        <f>AVERAGE(M117:R117)</f>
        <v>1.1407160760316251</v>
      </c>
      <c r="U117" s="138"/>
      <c r="W117" s="138"/>
      <c r="X117" s="138"/>
      <c r="Y117" s="138"/>
      <c r="Z117" s="138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</row>
    <row r="118" spans="1:41" ht="12.75" customHeight="1" x14ac:dyDescent="0.2">
      <c r="A118" s="138" t="s">
        <v>25</v>
      </c>
      <c r="B118" s="158">
        <f t="shared" ref="B118:L118" si="128">(B13+B14)/B48</f>
        <v>0.65298303229337706</v>
      </c>
      <c r="C118" s="158">
        <f t="shared" si="128"/>
        <v>0.44116912315763174</v>
      </c>
      <c r="D118" s="158">
        <f t="shared" si="128"/>
        <v>0.33445640562083984</v>
      </c>
      <c r="E118" s="158">
        <f t="shared" si="128"/>
        <v>0.43878205128205128</v>
      </c>
      <c r="F118" s="158">
        <f t="shared" si="128"/>
        <v>0.27329423810853581</v>
      </c>
      <c r="G118" s="158">
        <f t="shared" si="128"/>
        <v>0.30813043750391189</v>
      </c>
      <c r="H118" s="158">
        <f t="shared" si="128"/>
        <v>0.31773702820491728</v>
      </c>
      <c r="I118" s="158">
        <f t="shared" si="128"/>
        <v>0.61766945925361771</v>
      </c>
      <c r="J118" s="158">
        <f t="shared" si="128"/>
        <v>0.45566166439290584</v>
      </c>
      <c r="K118" s="158">
        <f t="shared" si="128"/>
        <v>0.72655478775913129</v>
      </c>
      <c r="L118" s="158">
        <f t="shared" si="128"/>
        <v>0.42189500640204863</v>
      </c>
      <c r="M118" s="158">
        <f t="shared" ref="M118:S118" si="129">(M13+M14)/M48</f>
        <v>0.38588754134509373</v>
      </c>
      <c r="N118" s="158">
        <f t="shared" si="129"/>
        <v>0.58489096573208721</v>
      </c>
      <c r="O118" s="158">
        <f t="shared" si="129"/>
        <v>0.59105180533751966</v>
      </c>
      <c r="P118" s="158">
        <f t="shared" si="129"/>
        <v>0.64642857142857146</v>
      </c>
      <c r="Q118" s="158">
        <f t="shared" ref="Q118" si="130">(Q13+Q14)/Q48</f>
        <v>0.70214752567693739</v>
      </c>
      <c r="R118" s="158">
        <f t="shared" si="129"/>
        <v>0.6213511259382819</v>
      </c>
      <c r="S118" s="158">
        <f t="shared" si="129"/>
        <v>0.62427745664739887</v>
      </c>
      <c r="T118" s="158">
        <f t="shared" ref="T118:T120" si="131">AVERAGE(M118:R118)</f>
        <v>0.5886262559097486</v>
      </c>
      <c r="U118" s="138"/>
      <c r="W118" s="138"/>
      <c r="X118" s="138"/>
      <c r="Y118" s="138"/>
      <c r="Z118" s="138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</row>
    <row r="119" spans="1:41" ht="12.75" customHeight="1" x14ac:dyDescent="0.2">
      <c r="A119" s="138" t="s">
        <v>202</v>
      </c>
      <c r="B119" s="158"/>
      <c r="C119" s="158"/>
      <c r="D119" s="158"/>
      <c r="E119" s="158"/>
      <c r="F119" s="158"/>
      <c r="G119" s="158"/>
      <c r="H119" s="158">
        <f>((H78/365)/((G13+H13)/2))^-1</f>
        <v>14.935522365078143</v>
      </c>
      <c r="I119" s="158">
        <f>((I78/365)/((H13+I13)/2))^-1</f>
        <v>14.898309065288869</v>
      </c>
      <c r="J119" s="158">
        <f>((J78/365)/((I13+J13)/2))^-1</f>
        <v>11.644619831036016</v>
      </c>
      <c r="K119" s="158">
        <f>((K78/365)/((J13+K13)/2))^-1</f>
        <v>7.2066412385012342</v>
      </c>
      <c r="L119" s="158">
        <f t="shared" ref="L119:P119" si="132">365*((K13+L13)/2)/L78</f>
        <v>6.0943140794223822</v>
      </c>
      <c r="M119" s="158">
        <f t="shared" si="132"/>
        <v>3.1040122110771913</v>
      </c>
      <c r="N119" s="158">
        <f t="shared" si="132"/>
        <v>4.7475419909873002</v>
      </c>
      <c r="O119" s="158">
        <f t="shared" si="132"/>
        <v>4.7158538954730913</v>
      </c>
      <c r="P119" s="158">
        <f t="shared" si="132"/>
        <v>2.6408987052551409</v>
      </c>
      <c r="Q119" s="158">
        <f>365*((O13+Q13)/2)/Q78</f>
        <v>2.2672974006116209</v>
      </c>
      <c r="R119" s="158">
        <f>365*((Q13+R13)/2)/R78</f>
        <v>1.0175927706210344</v>
      </c>
      <c r="S119" s="158">
        <f>365*((R13+S13)/2)/(S78*4)</f>
        <v>1.1397345823575331</v>
      </c>
      <c r="T119" s="158">
        <f t="shared" si="131"/>
        <v>3.0821994956708969</v>
      </c>
      <c r="U119" s="138"/>
      <c r="W119" s="138"/>
      <c r="X119" s="138"/>
      <c r="Y119" s="138"/>
      <c r="Z119" s="138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</row>
    <row r="120" spans="1:41" ht="12.75" customHeight="1" x14ac:dyDescent="0.2">
      <c r="A120" s="138" t="s">
        <v>10</v>
      </c>
      <c r="B120" s="158">
        <f>365*(B14/B78)</f>
        <v>51.414382101382024</v>
      </c>
      <c r="C120" s="158">
        <f t="shared" ref="C120:M120" si="133">365*(((B14+C14)/2)/((B78+C78)/2))</f>
        <v>45.555371242784148</v>
      </c>
      <c r="D120" s="158">
        <f t="shared" si="133"/>
        <v>35.42184935905059</v>
      </c>
      <c r="E120" s="158">
        <f t="shared" si="133"/>
        <v>28.769674181569581</v>
      </c>
      <c r="F120" s="158">
        <f t="shared" si="133"/>
        <v>28.685258646784238</v>
      </c>
      <c r="G120" s="158">
        <f t="shared" si="133"/>
        <v>30.87413707494434</v>
      </c>
      <c r="H120" s="158">
        <f t="shared" si="133"/>
        <v>29.41861637031171</v>
      </c>
      <c r="I120" s="158">
        <f t="shared" si="133"/>
        <v>38.03659239457</v>
      </c>
      <c r="J120" s="158">
        <f t="shared" si="133"/>
        <v>49.689355870260393</v>
      </c>
      <c r="K120" s="158">
        <f>365*(((J14+K14)/2)/((J78+K78)/2))</f>
        <v>50.052484645449468</v>
      </c>
      <c r="L120" s="158">
        <f>365*(((K14+L14)/2)/((K78+L78)/2))</f>
        <v>51.204297446281927</v>
      </c>
      <c r="M120" s="158">
        <f t="shared" si="133"/>
        <v>51.847970725216236</v>
      </c>
      <c r="N120" s="158">
        <f>365*(((M14+N14)/2)/((M78+N78)/2))</f>
        <v>51.041402619349384</v>
      </c>
      <c r="O120" s="158">
        <f>365*(((N14+O14)/2)/((N78+O78)/2))</f>
        <v>49.896799282081957</v>
      </c>
      <c r="P120" s="158">
        <f>365*(((O14+P14)/2)/((O78+P78)/2))</f>
        <v>49.174439849985575</v>
      </c>
      <c r="Q120" s="158">
        <f>365*(((O14+Q14)/2)/((O78+Q78)/2))</f>
        <v>50.64071683206474</v>
      </c>
      <c r="R120" s="158">
        <f>365*(((Q14+R14)/2)/((Q78+R78)/2))</f>
        <v>51.358190357519412</v>
      </c>
      <c r="S120" s="158">
        <f>365*(((R14+S14)/2)/((R78+S78*4)/2))</f>
        <v>48.11283292978208</v>
      </c>
      <c r="T120" s="158">
        <f t="shared" si="131"/>
        <v>50.659919944369555</v>
      </c>
      <c r="U120" s="138"/>
      <c r="W120" s="138"/>
      <c r="X120" s="138"/>
      <c r="Y120" s="138"/>
      <c r="Z120" s="138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</row>
    <row r="121" spans="1:41" ht="7.5" customHeight="1" x14ac:dyDescent="0.2">
      <c r="A121" s="13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38"/>
      <c r="W121" s="138"/>
      <c r="X121" s="138"/>
      <c r="Y121" s="138"/>
      <c r="Z121" s="138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</row>
    <row r="122" spans="1:41" x14ac:dyDescent="0.2">
      <c r="A122" s="165" t="s">
        <v>16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38"/>
      <c r="W122" s="138"/>
      <c r="X122" s="138"/>
      <c r="Y122" s="138"/>
      <c r="Z122" s="138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</row>
    <row r="123" spans="1:41" x14ac:dyDescent="0.2">
      <c r="A123" s="138" t="s">
        <v>20</v>
      </c>
      <c r="B123" s="158">
        <f t="shared" ref="B123:L123" si="134">B63/B56</f>
        <v>0.47265705897401533</v>
      </c>
      <c r="C123" s="158">
        <f t="shared" si="134"/>
        <v>0.47675831157406762</v>
      </c>
      <c r="D123" s="158">
        <f t="shared" si="134"/>
        <v>0.38411677978933939</v>
      </c>
      <c r="E123" s="158">
        <f t="shared" si="134"/>
        <v>0.39674102041830195</v>
      </c>
      <c r="F123" s="158">
        <f t="shared" si="134"/>
        <v>0.39498602544333078</v>
      </c>
      <c r="G123" s="158">
        <f t="shared" si="134"/>
        <v>0.36677295217152284</v>
      </c>
      <c r="H123" s="158">
        <f t="shared" si="134"/>
        <v>0.46427496469171825</v>
      </c>
      <c r="I123" s="158">
        <f t="shared" si="134"/>
        <v>0.51277093721379874</v>
      </c>
      <c r="J123" s="158">
        <f>J63/J56</f>
        <v>0.54288288288288289</v>
      </c>
      <c r="K123" s="158">
        <f>K63/K56</f>
        <v>0.54691842406408375</v>
      </c>
      <c r="L123" s="158">
        <f t="shared" si="134"/>
        <v>0.56641994546162833</v>
      </c>
      <c r="M123" s="158">
        <f t="shared" ref="M123:S123" si="135">M63/M56</f>
        <v>0.52711323763955342</v>
      </c>
      <c r="N123" s="158">
        <f t="shared" si="135"/>
        <v>0.53983243396762282</v>
      </c>
      <c r="O123" s="158">
        <f t="shared" si="135"/>
        <v>0.56120242214532867</v>
      </c>
      <c r="P123" s="158">
        <f t="shared" si="135"/>
        <v>0.53664613468060074</v>
      </c>
      <c r="Q123" s="158">
        <f t="shared" ref="Q123" si="136">Q63/Q56</f>
        <v>0.50464208826695367</v>
      </c>
      <c r="R123" s="158">
        <f t="shared" si="135"/>
        <v>0.4924020261263663</v>
      </c>
      <c r="S123" s="158">
        <f t="shared" si="135"/>
        <v>0.50562026002166849</v>
      </c>
      <c r="T123" s="158">
        <f t="shared" ref="T123:T127" si="137">AVERAGE(M123:R123)</f>
        <v>0.52697305713773757</v>
      </c>
      <c r="U123" s="138"/>
      <c r="W123" s="138"/>
      <c r="X123" s="138"/>
      <c r="Y123" s="138"/>
      <c r="Z123" s="138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</row>
    <row r="124" spans="1:41" x14ac:dyDescent="0.2">
      <c r="A124" s="138" t="s">
        <v>19</v>
      </c>
      <c r="B124" s="158">
        <f t="shared" ref="B124:L124" si="138">B63/B54</f>
        <v>0.54550439367311077</v>
      </c>
      <c r="C124" s="158">
        <f t="shared" si="138"/>
        <v>0.61404549950544018</v>
      </c>
      <c r="D124" s="158">
        <f t="shared" si="138"/>
        <v>0.45817357964447536</v>
      </c>
      <c r="E124" s="158">
        <f t="shared" si="138"/>
        <v>0.44892911349710496</v>
      </c>
      <c r="F124" s="158">
        <f t="shared" si="138"/>
        <v>0.45370511312530271</v>
      </c>
      <c r="G124" s="158">
        <f t="shared" si="138"/>
        <v>0.44493350939671616</v>
      </c>
      <c r="H124" s="158">
        <f t="shared" si="138"/>
        <v>0.54034572425593841</v>
      </c>
      <c r="I124" s="158">
        <f t="shared" si="138"/>
        <v>0.59184871975569653</v>
      </c>
      <c r="J124" s="158">
        <f>J63/J54</f>
        <v>0.62549304546398177</v>
      </c>
      <c r="K124" s="158">
        <f>K63/K54</f>
        <v>0.59629266553783089</v>
      </c>
      <c r="L124" s="158">
        <f t="shared" si="138"/>
        <v>0.64490375232857267</v>
      </c>
      <c r="M124" s="158">
        <f t="shared" ref="M124:S124" si="139">M63/M54</f>
        <v>0.60692821368948247</v>
      </c>
      <c r="N124" s="158">
        <f t="shared" si="139"/>
        <v>0.59398437500000001</v>
      </c>
      <c r="O124" s="158">
        <f t="shared" si="139"/>
        <v>0.61795523098904592</v>
      </c>
      <c r="P124" s="158">
        <f t="shared" si="139"/>
        <v>0.58173906519618879</v>
      </c>
      <c r="Q124" s="158">
        <f t="shared" ref="Q124" si="140">Q63/Q54</f>
        <v>0.54382657869934026</v>
      </c>
      <c r="R124" s="158">
        <f t="shared" si="139"/>
        <v>0.53516841724013042</v>
      </c>
      <c r="S124" s="158">
        <f t="shared" si="139"/>
        <v>0.5438455935906773</v>
      </c>
      <c r="T124" s="158">
        <f t="shared" si="137"/>
        <v>0.5799336468023647</v>
      </c>
      <c r="U124" s="138"/>
      <c r="W124" s="138"/>
      <c r="X124" s="138"/>
      <c r="Y124" s="138"/>
      <c r="Z124" s="138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</row>
    <row r="125" spans="1:41" x14ac:dyDescent="0.2">
      <c r="A125" s="138" t="s">
        <v>18</v>
      </c>
      <c r="B125" s="158">
        <f t="shared" ref="B125:L125" si="141">B63/B28</f>
        <v>0.42180620332017876</v>
      </c>
      <c r="C125" s="158">
        <f t="shared" si="141"/>
        <v>0.43095331254969776</v>
      </c>
      <c r="D125" s="158">
        <f t="shared" si="141"/>
        <v>0.3628709454796411</v>
      </c>
      <c r="E125" s="158">
        <f t="shared" si="141"/>
        <v>0.36723573029832729</v>
      </c>
      <c r="F125" s="158">
        <f t="shared" si="141"/>
        <v>0.36282852874453603</v>
      </c>
      <c r="G125" s="158">
        <f t="shared" si="141"/>
        <v>0.35148462689397936</v>
      </c>
      <c r="H125" s="158">
        <f t="shared" si="141"/>
        <v>0.39671784117437586</v>
      </c>
      <c r="I125" s="158">
        <f t="shared" si="141"/>
        <v>0.42526795510169635</v>
      </c>
      <c r="J125" s="158">
        <f t="shared" si="141"/>
        <v>0.43590856481481483</v>
      </c>
      <c r="K125" s="158">
        <f t="shared" si="141"/>
        <v>0.43064941751946967</v>
      </c>
      <c r="L125" s="158">
        <f t="shared" si="141"/>
        <v>0.44350902879453391</v>
      </c>
      <c r="M125" s="158">
        <f t="shared" ref="M125:S125" si="142">M63/M28</f>
        <v>0.41849890641187981</v>
      </c>
      <c r="N125" s="158">
        <f t="shared" si="142"/>
        <v>0.42105554632552472</v>
      </c>
      <c r="O125" s="158">
        <f t="shared" si="142"/>
        <v>0.42065164532339117</v>
      </c>
      <c r="P125" s="158">
        <f t="shared" si="142"/>
        <v>0.41423152946204389</v>
      </c>
      <c r="Q125" s="158">
        <f t="shared" ref="Q125" si="143">Q63/Q28</f>
        <v>0.3942499737201724</v>
      </c>
      <c r="R125" s="158">
        <f t="shared" si="142"/>
        <v>0.38555474376369897</v>
      </c>
      <c r="S125" s="158">
        <f t="shared" si="142"/>
        <v>0.39032932566649242</v>
      </c>
      <c r="T125" s="158">
        <f t="shared" si="137"/>
        <v>0.40904039083445182</v>
      </c>
      <c r="U125" s="138"/>
      <c r="W125" s="138"/>
      <c r="X125" s="138"/>
      <c r="Y125" s="138"/>
      <c r="Z125" s="138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</row>
    <row r="126" spans="1:41" x14ac:dyDescent="0.2">
      <c r="A126" s="138" t="s">
        <v>30</v>
      </c>
      <c r="B126" s="158">
        <f t="shared" ref="B126:I126" si="144">(B95+B89)/B89</f>
        <v>2.2830012453300124</v>
      </c>
      <c r="C126" s="158">
        <f t="shared" si="144"/>
        <v>1.3322522522522522</v>
      </c>
      <c r="D126" s="158">
        <f t="shared" si="144"/>
        <v>3.1263586956521738</v>
      </c>
      <c r="E126" s="158">
        <f t="shared" si="144"/>
        <v>1.9480776852952819</v>
      </c>
      <c r="F126" s="158">
        <f t="shared" si="144"/>
        <v>2.6631445477599311</v>
      </c>
      <c r="G126" s="158">
        <f t="shared" si="144"/>
        <v>2.6634996041171823</v>
      </c>
      <c r="H126" s="158">
        <f t="shared" si="144"/>
        <v>3.2630303030303018</v>
      </c>
      <c r="I126" s="158">
        <f t="shared" si="144"/>
        <v>3.3333333333333335</v>
      </c>
      <c r="J126" s="158">
        <f>(J95+J89)/J89</f>
        <v>3.2750809061488675</v>
      </c>
      <c r="K126" s="158">
        <f>(K95+K89)/K89</f>
        <v>3.1838440111420612</v>
      </c>
      <c r="L126" s="158">
        <f t="shared" ref="L126:S126" si="145">((L95+L89)/L89)</f>
        <v>3.2719298245614037</v>
      </c>
      <c r="M126" s="158">
        <f t="shared" si="145"/>
        <v>3.092643051771117</v>
      </c>
      <c r="N126" s="158">
        <f t="shared" si="145"/>
        <v>3.091168091168091</v>
      </c>
      <c r="O126" s="158">
        <f t="shared" si="145"/>
        <v>3.7971428571428572</v>
      </c>
      <c r="P126" s="158">
        <f t="shared" si="145"/>
        <v>3.8446327683615817</v>
      </c>
      <c r="Q126" s="158">
        <f t="shared" ref="Q126" si="146">((Q95+Q89)/Q89)</f>
        <v>3.8337950138504153</v>
      </c>
      <c r="R126" s="158">
        <f t="shared" si="145"/>
        <v>4.021917808219178</v>
      </c>
      <c r="S126" s="158">
        <f t="shared" si="145"/>
        <v>3.7789473684210528</v>
      </c>
      <c r="T126" s="158">
        <f t="shared" si="137"/>
        <v>3.6135499317522068</v>
      </c>
      <c r="U126" s="138"/>
      <c r="W126" s="138"/>
      <c r="X126" s="138"/>
      <c r="Y126" s="138"/>
      <c r="Z126" s="138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</row>
    <row r="127" spans="1:41" x14ac:dyDescent="0.2">
      <c r="A127" s="138" t="s">
        <v>204</v>
      </c>
      <c r="B127" s="158"/>
      <c r="C127" s="158"/>
      <c r="D127" s="158"/>
      <c r="E127" s="158"/>
      <c r="F127" s="158"/>
      <c r="G127" s="158"/>
      <c r="H127" s="158"/>
      <c r="I127" s="158">
        <f t="shared" ref="I127:S127" si="147">(I95+I89+I83)/I89</f>
        <v>5.0771929824561406</v>
      </c>
      <c r="J127" s="158">
        <f t="shared" si="147"/>
        <v>4.8608414239482203</v>
      </c>
      <c r="K127" s="158">
        <f t="shared" si="147"/>
        <v>4.7130919220055709</v>
      </c>
      <c r="L127" s="158">
        <f t="shared" si="147"/>
        <v>4.9122807017543861</v>
      </c>
      <c r="M127" s="158">
        <f t="shared" si="147"/>
        <v>4.7574931880108995</v>
      </c>
      <c r="N127" s="158">
        <f t="shared" si="147"/>
        <v>4.9145299145299148</v>
      </c>
      <c r="O127" s="158">
        <f t="shared" si="147"/>
        <v>5.725714285714286</v>
      </c>
      <c r="P127" s="158">
        <f t="shared" si="147"/>
        <v>5.8954802259887007</v>
      </c>
      <c r="Q127" s="158">
        <f>(Q95+Q89+Q83)/Q89</f>
        <v>5.9307479224376731</v>
      </c>
      <c r="R127" s="158">
        <f>(R95+R89+R83)/R89</f>
        <v>6.1315068493150688</v>
      </c>
      <c r="S127" s="158">
        <f t="shared" si="147"/>
        <v>5.8421052631578947</v>
      </c>
      <c r="T127" s="158">
        <f t="shared" si="137"/>
        <v>5.55924539766609</v>
      </c>
      <c r="U127" s="138"/>
      <c r="W127" s="138"/>
      <c r="X127" s="138"/>
      <c r="Y127" s="138"/>
      <c r="Z127" s="138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</row>
    <row r="128" spans="1:41" x14ac:dyDescent="0.2">
      <c r="A128" s="13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38"/>
      <c r="W128" s="138"/>
      <c r="X128" s="138"/>
      <c r="Y128" s="138"/>
      <c r="Z128" s="138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</row>
    <row r="129" spans="1:41" x14ac:dyDescent="0.2">
      <c r="A129" s="165" t="s">
        <v>66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38"/>
      <c r="W129" s="138"/>
      <c r="X129" s="138"/>
      <c r="Y129" s="138"/>
      <c r="Z129" s="138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</row>
    <row r="130" spans="1:41" x14ac:dyDescent="0.2">
      <c r="A130" s="138" t="s">
        <v>28</v>
      </c>
      <c r="B130" s="140">
        <f>(B99+(B89*(1-(B98/B95))))/((B38)/1)</f>
        <v>2.4417305749913163E-2</v>
      </c>
      <c r="C130" s="140">
        <f t="shared" ref="C130:K130" si="148">(C99+(C89*(1-(C98/C95))))/((B38+C38)/2)</f>
        <v>-3.0177265524137634E-2</v>
      </c>
      <c r="D130" s="140">
        <f t="shared" si="148"/>
        <v>4.2276489838652002E-2</v>
      </c>
      <c r="E130" s="140">
        <f t="shared" si="148"/>
        <v>2.5683038962038707E-2</v>
      </c>
      <c r="F130" s="140">
        <f t="shared" si="148"/>
        <v>3.4040824318727507E-2</v>
      </c>
      <c r="G130" s="140">
        <f>(G99+(G89*(1-(G98/G95))))/((F38+G38)/2)</f>
        <v>3.3309159453546809E-2</v>
      </c>
      <c r="H130" s="140">
        <f t="shared" si="148"/>
        <v>4.1191504558362284E-2</v>
      </c>
      <c r="I130" s="140">
        <f t="shared" si="148"/>
        <v>4.6002415902156493E-2</v>
      </c>
      <c r="J130" s="140">
        <f t="shared" si="148"/>
        <v>4.174024666110402E-2</v>
      </c>
      <c r="K130" s="140">
        <f t="shared" si="148"/>
        <v>4.4383222527657175E-2</v>
      </c>
      <c r="L130" s="140">
        <f t="shared" ref="L130:P130" si="149">((L99+(L89*(1-(L98/L95))))/((K38+L38)/2))</f>
        <v>4.1681704496185981E-2</v>
      </c>
      <c r="M130" s="140">
        <f t="shared" si="149"/>
        <v>3.9766064372636481E-2</v>
      </c>
      <c r="N130" s="140">
        <f t="shared" si="149"/>
        <v>3.7063747393619804E-2</v>
      </c>
      <c r="O130" s="140">
        <f t="shared" si="149"/>
        <v>4.2677310010791301E-2</v>
      </c>
      <c r="P130" s="140">
        <f t="shared" si="149"/>
        <v>4.3013604748522151E-2</v>
      </c>
      <c r="Q130" s="140">
        <f>((Q99+(Q89*(1-(Q98/Q95))))/((O38+Q38)/2))</f>
        <v>4.2713585356275965E-2</v>
      </c>
      <c r="R130" s="140">
        <f>((R99+(R89*(1-(R98/R95))))/((Q38+R38)/2))</f>
        <v>4.5373815029649864E-2</v>
      </c>
      <c r="S130" s="140">
        <f>((S99+(S89*(1-(S98/S95))))/((R38+S38)/2))*4</f>
        <v>4.3631176319218264E-2</v>
      </c>
      <c r="T130" s="140">
        <f>AVERAGE(M130:R130)</f>
        <v>4.1768021151915934E-2</v>
      </c>
      <c r="U130" s="138"/>
      <c r="W130" s="138"/>
      <c r="X130" s="138"/>
      <c r="Y130" s="138"/>
      <c r="Z130" s="138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</row>
    <row r="131" spans="1:41" x14ac:dyDescent="0.2">
      <c r="A131" s="138" t="s">
        <v>65</v>
      </c>
      <c r="B131" s="140" t="e">
        <f t="shared" ref="B131:L131" si="150">((B99+(B89*(1-(B98/B95))))/((A42+B42+A43+B43+A50+B50+A58+B58+A63+B63)/2))</f>
        <v>#VALUE!</v>
      </c>
      <c r="C131" s="140">
        <f t="shared" si="150"/>
        <v>-4.386383648738696E-2</v>
      </c>
      <c r="D131" s="140">
        <f t="shared" si="150"/>
        <v>6.464320049699937E-2</v>
      </c>
      <c r="E131" s="140">
        <f t="shared" si="150"/>
        <v>4.0126348728954792E-2</v>
      </c>
      <c r="F131" s="140">
        <f t="shared" si="150"/>
        <v>5.4928427722606712E-2</v>
      </c>
      <c r="G131" s="140">
        <f t="shared" si="150"/>
        <v>5.3538029920752281E-2</v>
      </c>
      <c r="H131" s="140">
        <f t="shared" si="150"/>
        <v>6.4974458829950399E-2</v>
      </c>
      <c r="I131" s="140">
        <f t="shared" si="150"/>
        <v>6.8865833880133218E-2</v>
      </c>
      <c r="J131" s="140">
        <f t="shared" si="150"/>
        <v>6.0944902417637836E-2</v>
      </c>
      <c r="K131" s="140">
        <f t="shared" si="150"/>
        <v>6.4488458243197544E-2</v>
      </c>
      <c r="L131" s="140">
        <f t="shared" si="150"/>
        <v>6.0613281761407872E-2</v>
      </c>
      <c r="M131" s="140">
        <f>((M99+(M89*(1-(M98/M95))))/((L42+M42+L43+M43+L50+M50+L58+M58+L63+M63)/2))</f>
        <v>5.8668491380851902E-2</v>
      </c>
      <c r="N131" s="140">
        <f t="shared" ref="N131:R131" si="151">((N99+(N89*(1-(N98/N95))))/((M42+N42+M43+N43+M50+N50+M58+N58+M63+N63)/2))</f>
        <v>5.5282002780775497E-2</v>
      </c>
      <c r="O131" s="140">
        <f t="shared" si="151"/>
        <v>6.3479737030347358E-2</v>
      </c>
      <c r="P131" s="140">
        <f t="shared" si="151"/>
        <v>6.4046598957506223E-2</v>
      </c>
      <c r="Q131" s="140">
        <f t="shared" si="151"/>
        <v>6.382393120063147E-2</v>
      </c>
      <c r="R131" s="140">
        <f t="shared" si="151"/>
        <v>6.9062069319306238E-2</v>
      </c>
      <c r="S131" s="140">
        <f>((S99+(S89*(1-(S98/S95))))/((R42+S42+R43+S43+R50+S50+R58+S58+R63+S63)/2))*4</f>
        <v>6.6590398738263182E-2</v>
      </c>
      <c r="T131" s="140">
        <f t="shared" ref="T131:T132" si="152">AVERAGE(M131:R131)</f>
        <v>6.2393805111569785E-2</v>
      </c>
      <c r="U131" s="138"/>
      <c r="W131" s="138"/>
      <c r="X131" s="138"/>
      <c r="Y131" s="138"/>
      <c r="Z131" s="138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</row>
    <row r="132" spans="1:41" x14ac:dyDescent="0.2">
      <c r="A132" s="138" t="s">
        <v>64</v>
      </c>
      <c r="B132" s="140">
        <f>(B99-B101)/((B63)/1)</f>
        <v>1.6701461377870552E-2</v>
      </c>
      <c r="C132" s="140">
        <f t="shared" ref="C132:K132" si="153">(C99-C101)/((C63+B63)/2)</f>
        <v>-2.9091208203665883E-2</v>
      </c>
      <c r="D132" s="140">
        <f t="shared" si="153"/>
        <v>9.9773242630385492E-2</v>
      </c>
      <c r="E132" s="140">
        <f t="shared" si="153"/>
        <v>4.3638992491332872E-2</v>
      </c>
      <c r="F132" s="140">
        <f t="shared" si="153"/>
        <v>7.563609398896963E-2</v>
      </c>
      <c r="G132" s="140">
        <f>(G99-G101)/((G63+F63)/2)</f>
        <v>7.5470557109380956E-2</v>
      </c>
      <c r="H132" s="140">
        <f t="shared" si="153"/>
        <v>9.7627377046948682E-2</v>
      </c>
      <c r="I132" s="140">
        <f t="shared" si="153"/>
        <v>9.7905961655340074E-2</v>
      </c>
      <c r="J132" s="140">
        <f t="shared" si="153"/>
        <v>8.3687302304563935E-2</v>
      </c>
      <c r="K132" s="140">
        <f t="shared" si="153"/>
        <v>8.6183848391916326E-2</v>
      </c>
      <c r="L132" s="140">
        <f t="shared" ref="L132" si="154">((L99-L101)/((L63+K63)/2))</f>
        <v>8.0796504548384787E-2</v>
      </c>
      <c r="M132" s="140">
        <f>((M99-M101)/((M63+L63)/2))</f>
        <v>7.6060793618045533E-2</v>
      </c>
      <c r="N132" s="140">
        <f t="shared" ref="N132:R132" si="155">((N99-N101)/((N63+M63)/2))</f>
        <v>7.1937609251042089E-2</v>
      </c>
      <c r="O132" s="140">
        <f t="shared" si="155"/>
        <v>8.8380556277618927E-2</v>
      </c>
      <c r="P132" s="140">
        <f t="shared" si="155"/>
        <v>8.9825600102966724E-2</v>
      </c>
      <c r="Q132" s="140">
        <f t="shared" si="155"/>
        <v>9.1104555883316937E-2</v>
      </c>
      <c r="R132" s="140">
        <f t="shared" si="155"/>
        <v>0.10249177244945933</v>
      </c>
      <c r="S132" s="140">
        <f>((S99-S101)/((S63+R63)/2))*4</f>
        <v>9.6398519017165937E-2</v>
      </c>
      <c r="T132" s="140">
        <f t="shared" si="152"/>
        <v>8.6633481263741596E-2</v>
      </c>
      <c r="U132" s="138"/>
      <c r="W132" s="138"/>
      <c r="X132" s="138"/>
      <c r="Y132" s="138"/>
      <c r="Z132" s="138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</row>
    <row r="133" spans="1:41" x14ac:dyDescent="0.2">
      <c r="A133" s="13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38"/>
      <c r="W133" s="138"/>
      <c r="X133" s="138"/>
      <c r="Y133" s="138"/>
      <c r="Z133" s="138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</row>
    <row r="134" spans="1:41" x14ac:dyDescent="0.2">
      <c r="A134" s="202" t="s">
        <v>152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38"/>
      <c r="W134" s="138"/>
      <c r="X134" s="138"/>
      <c r="Y134" s="138"/>
      <c r="Z134" s="138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</row>
    <row r="135" spans="1:41" x14ac:dyDescent="0.2">
      <c r="A135" s="138" t="s">
        <v>190</v>
      </c>
      <c r="B135" s="158">
        <f>B78/(B28)</f>
        <v>0.43343878760205695</v>
      </c>
      <c r="C135" s="158">
        <f t="shared" ref="C135:K135" si="156">C78/((B28+C28)/2)</f>
        <v>0.59057776324089439</v>
      </c>
      <c r="D135" s="158">
        <f t="shared" si="156"/>
        <v>0.42205079157333064</v>
      </c>
      <c r="E135" s="158">
        <f t="shared" si="156"/>
        <v>0.36985841132709385</v>
      </c>
      <c r="F135" s="158">
        <f t="shared" si="156"/>
        <v>0.36024809698336624</v>
      </c>
      <c r="G135" s="158">
        <f>G78/((F28+G28)/2)</f>
        <v>0.32911788677127024</v>
      </c>
      <c r="H135" s="158">
        <f t="shared" si="156"/>
        <v>0.39762650639292246</v>
      </c>
      <c r="I135" s="158">
        <f t="shared" si="156"/>
        <v>0.38782778187647443</v>
      </c>
      <c r="J135" s="158">
        <f t="shared" si="156"/>
        <v>0.35040704241810461</v>
      </c>
      <c r="K135" s="158">
        <f t="shared" si="156"/>
        <v>0.30360001362351419</v>
      </c>
      <c r="L135" s="158">
        <f t="shared" ref="L135:P135" si="157">L78/((K28+L28)/2)</f>
        <v>0.27761596041216446</v>
      </c>
      <c r="M135" s="158">
        <f t="shared" si="157"/>
        <v>0.27163418823668778</v>
      </c>
      <c r="N135" s="158">
        <f t="shared" si="157"/>
        <v>0.27557788377409614</v>
      </c>
      <c r="O135" s="158">
        <f t="shared" si="157"/>
        <v>0.28153374904277434</v>
      </c>
      <c r="P135" s="158">
        <f t="shared" si="157"/>
        <v>0.28216837694084779</v>
      </c>
      <c r="Q135" s="158">
        <f>Q78/((O28+Q28)/2)</f>
        <v>0.27879466069858527</v>
      </c>
      <c r="R135" s="158">
        <f>R78/((Q28+R28)/2)</f>
        <v>0.27238923221954542</v>
      </c>
      <c r="S135" s="158">
        <f>S78*4/((R28+S28)/2)</f>
        <v>0.26762770291444687</v>
      </c>
      <c r="T135" s="158">
        <f t="shared" ref="T135:T136" si="158">AVERAGE(M135:R135)</f>
        <v>0.27701634848542284</v>
      </c>
      <c r="U135" s="138"/>
      <c r="W135" s="138"/>
      <c r="X135" s="138"/>
      <c r="Y135" s="138"/>
      <c r="Z135" s="138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</row>
    <row r="136" spans="1:41" x14ac:dyDescent="0.2">
      <c r="A136" s="138" t="s">
        <v>191</v>
      </c>
      <c r="B136" s="158">
        <f>B78/B38</f>
        <v>0.3240038683147638</v>
      </c>
      <c r="C136" s="158">
        <f t="shared" ref="C136:K136" si="159">C78/((B38+C38)/2)</f>
        <v>0.43139396473383984</v>
      </c>
      <c r="D136" s="158">
        <f t="shared" si="159"/>
        <v>0.30472391578909108</v>
      </c>
      <c r="E136" s="158">
        <f t="shared" si="159"/>
        <v>0.27310019757767989</v>
      </c>
      <c r="F136" s="158">
        <f t="shared" si="159"/>
        <v>0.27335076092397609</v>
      </c>
      <c r="G136" s="158">
        <f>G78/((F38+G38)/2)</f>
        <v>0.25198776758409791</v>
      </c>
      <c r="H136" s="158">
        <f t="shared" si="159"/>
        <v>0.30862261505928196</v>
      </c>
      <c r="I136" s="158">
        <f t="shared" si="159"/>
        <v>0.30812314795048906</v>
      </c>
      <c r="J136" s="158">
        <f t="shared" si="159"/>
        <v>0.28047639832886451</v>
      </c>
      <c r="K136" s="158">
        <f t="shared" si="159"/>
        <v>0.24669969280159412</v>
      </c>
      <c r="L136" s="158">
        <f t="shared" ref="L136:P136" si="160">L78/((K38+L38)/2)</f>
        <v>0.22663121292697894</v>
      </c>
      <c r="M136" s="158">
        <f t="shared" si="160"/>
        <v>0.22234073499466692</v>
      </c>
      <c r="N136" s="158">
        <f t="shared" si="160"/>
        <v>0.22794975953681654</v>
      </c>
      <c r="O136" s="158">
        <f t="shared" si="160"/>
        <v>0.23726000875838385</v>
      </c>
      <c r="P136" s="158">
        <f t="shared" si="160"/>
        <v>0.23946744482947291</v>
      </c>
      <c r="Q136" s="158">
        <f>Q78/((O38+Q38)/2)</f>
        <v>0.23767773588334165</v>
      </c>
      <c r="R136" s="158">
        <f>R78/((Q38+R38)/2)</f>
        <v>0.23238980362369027</v>
      </c>
      <c r="S136" s="158">
        <f>S78*4/((R38+S38)/2)</f>
        <v>0.22961618605901726</v>
      </c>
      <c r="T136" s="158">
        <f t="shared" si="158"/>
        <v>0.232847581271062</v>
      </c>
      <c r="U136" s="138"/>
      <c r="W136" s="138"/>
      <c r="X136" s="138"/>
      <c r="Y136" s="138"/>
      <c r="Z136" s="138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</row>
    <row r="137" spans="1:41" x14ac:dyDescent="0.2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58"/>
      <c r="U137" s="138"/>
      <c r="W137" s="138"/>
      <c r="X137" s="138"/>
      <c r="Y137" s="138"/>
      <c r="Z137" s="138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</row>
    <row r="138" spans="1:41" x14ac:dyDescent="0.2">
      <c r="A138" s="165" t="s">
        <v>153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40"/>
      <c r="U138" s="138"/>
      <c r="W138" s="138"/>
      <c r="X138" s="138"/>
      <c r="Y138" s="138"/>
      <c r="Z138" s="138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</row>
    <row r="139" spans="1:41" x14ac:dyDescent="0.2">
      <c r="A139" s="138" t="s">
        <v>147</v>
      </c>
      <c r="B139" s="140">
        <f t="shared" ref="B139:K139" si="161">B63/B$144</f>
        <v>0.43861989441197424</v>
      </c>
      <c r="C139" s="140">
        <f t="shared" si="161"/>
        <v>0.49268419381836021</v>
      </c>
      <c r="D139" s="140">
        <f t="shared" si="161"/>
        <v>0.4103615620388239</v>
      </c>
      <c r="E139" s="140">
        <f t="shared" si="161"/>
        <v>0.44375911648260058</v>
      </c>
      <c r="F139" s="140">
        <f t="shared" si="161"/>
        <v>0.45942688993203951</v>
      </c>
      <c r="G139" s="140">
        <f t="shared" si="161"/>
        <v>0.45541175185670602</v>
      </c>
      <c r="H139" s="140">
        <f t="shared" si="161"/>
        <v>0.49937741252645995</v>
      </c>
      <c r="I139" s="140">
        <f t="shared" si="161"/>
        <v>0.49175368400507463</v>
      </c>
      <c r="J139" s="140">
        <f t="shared" si="161"/>
        <v>0.51792006875805763</v>
      </c>
      <c r="K139" s="140">
        <f t="shared" si="161"/>
        <v>0.50889869181624581</v>
      </c>
      <c r="L139" s="140">
        <f t="shared" ref="L139:R139" si="162">L63/L$144</f>
        <v>0.53019253208868145</v>
      </c>
      <c r="M139" s="140">
        <f t="shared" si="162"/>
        <v>0.5375970425138632</v>
      </c>
      <c r="N139" s="140">
        <f t="shared" si="162"/>
        <v>0.52416408135125814</v>
      </c>
      <c r="O139" s="140">
        <f t="shared" si="162"/>
        <v>0.53089198036006546</v>
      </c>
      <c r="P139" s="140">
        <f t="shared" si="162"/>
        <v>0.52480541455160745</v>
      </c>
      <c r="Q139" s="140">
        <f t="shared" ref="Q139" si="163">Q63/Q$144</f>
        <v>0.51204860400027308</v>
      </c>
      <c r="R139" s="140">
        <f t="shared" si="162"/>
        <v>0.51060888796737858</v>
      </c>
      <c r="S139" s="140">
        <f>S63/S$144</f>
        <v>0.51510761589403975</v>
      </c>
      <c r="T139" s="140">
        <f t="shared" ref="T139:T141" si="164">AVERAGE(M139:R139)</f>
        <v>0.52335266845740769</v>
      </c>
      <c r="U139" s="138"/>
      <c r="W139" s="138"/>
      <c r="X139" s="138"/>
      <c r="Y139" s="138"/>
      <c r="Z139" s="138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</row>
    <row r="140" spans="1:41" x14ac:dyDescent="0.2">
      <c r="A140" s="138" t="s">
        <v>59</v>
      </c>
      <c r="B140" s="140">
        <f t="shared" ref="B140:K140" si="165">B58/B$144</f>
        <v>2.4475168726047686E-2</v>
      </c>
      <c r="C140" s="140">
        <f t="shared" si="165"/>
        <v>8.0473867998037574E-2</v>
      </c>
      <c r="D140" s="140">
        <f t="shared" si="165"/>
        <v>6.4848450448405037E-2</v>
      </c>
      <c r="E140" s="140">
        <f t="shared" si="165"/>
        <v>6.2485239980551506E-2</v>
      </c>
      <c r="F140" s="140">
        <f t="shared" si="165"/>
        <v>1.3676171792895677E-2</v>
      </c>
      <c r="G140" s="140">
        <f t="shared" si="165"/>
        <v>1.2300677151594582E-2</v>
      </c>
      <c r="H140" s="140">
        <f t="shared" si="165"/>
        <v>1.0285145062881335E-2</v>
      </c>
      <c r="I140" s="140">
        <f t="shared" si="165"/>
        <v>4.0011710744608181E-3</v>
      </c>
      <c r="J140" s="140">
        <f t="shared" si="165"/>
        <v>3.5238504512247527E-3</v>
      </c>
      <c r="K140" s="140">
        <f t="shared" si="165"/>
        <v>3.1183449954365681E-3</v>
      </c>
      <c r="L140" s="140">
        <f t="shared" ref="L140:R140" si="166">L58/L$144</f>
        <v>2.9900816802800466E-3</v>
      </c>
      <c r="M140" s="140">
        <f t="shared" si="166"/>
        <v>3.0314232902033272E-3</v>
      </c>
      <c r="N140" s="140">
        <f t="shared" si="166"/>
        <v>2.8266115132712859E-3</v>
      </c>
      <c r="O140" s="140">
        <f t="shared" si="166"/>
        <v>1.3638843426077467E-4</v>
      </c>
      <c r="P140" s="140">
        <f t="shared" si="166"/>
        <v>1.3536379018612522E-4</v>
      </c>
      <c r="Q140" s="140">
        <f t="shared" ref="Q140" si="167">Q58/Q$144</f>
        <v>1.3652809065465221E-4</v>
      </c>
      <c r="R140" s="140">
        <f t="shared" si="166"/>
        <v>1.3822655332089293E-4</v>
      </c>
      <c r="S140" s="140">
        <f>S58/S$144</f>
        <v>1.3796909492273731E-4</v>
      </c>
      <c r="T140" s="140">
        <f t="shared" si="164"/>
        <v>1.0674236119828429E-3</v>
      </c>
      <c r="U140" s="138"/>
      <c r="W140" s="138"/>
      <c r="X140" s="138"/>
      <c r="Y140" s="138"/>
      <c r="Z140" s="138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</row>
    <row r="141" spans="1:41" x14ac:dyDescent="0.2">
      <c r="A141" s="138" t="s">
        <v>154</v>
      </c>
      <c r="B141" s="140">
        <f t="shared" ref="B141:K141" si="168">(B42+B50)/B$144</f>
        <v>0.53690493686197815</v>
      </c>
      <c r="C141" s="140">
        <f t="shared" si="168"/>
        <v>0.42684193818360217</v>
      </c>
      <c r="D141" s="140">
        <f t="shared" si="168"/>
        <v>0.52478998751277106</v>
      </c>
      <c r="E141" s="335">
        <f t="shared" si="168"/>
        <v>0.49375564353684792</v>
      </c>
      <c r="F141" s="335">
        <f t="shared" si="168"/>
        <v>0.52689693827506479</v>
      </c>
      <c r="G141" s="335">
        <f t="shared" si="168"/>
        <v>0.53228757099169943</v>
      </c>
      <c r="H141" s="335">
        <f t="shared" si="168"/>
        <v>0.49033744241065869</v>
      </c>
      <c r="I141" s="335">
        <f t="shared" si="168"/>
        <v>0.50424514492046457</v>
      </c>
      <c r="J141" s="335">
        <f t="shared" si="168"/>
        <v>0.47855608079071765</v>
      </c>
      <c r="K141" s="335">
        <f t="shared" si="168"/>
        <v>0.48798296318831763</v>
      </c>
      <c r="L141" s="335">
        <f t="shared" ref="L141:R141" si="169">(L42+L50)/L$144</f>
        <v>0.46681738623103852</v>
      </c>
      <c r="M141" s="335">
        <f t="shared" si="169"/>
        <v>0.45937153419593346</v>
      </c>
      <c r="N141" s="335">
        <f t="shared" si="169"/>
        <v>0.47300930713547051</v>
      </c>
      <c r="O141" s="335">
        <f t="shared" si="169"/>
        <v>0.46897163120567376</v>
      </c>
      <c r="P141" s="335">
        <f t="shared" si="169"/>
        <v>0.47505922165820641</v>
      </c>
      <c r="Q141" s="335">
        <f t="shared" ref="Q141" si="170">(Q42+Q50)/Q$144</f>
        <v>0.4878148679090723</v>
      </c>
      <c r="R141" s="335">
        <f t="shared" si="169"/>
        <v>0.48925288547930057</v>
      </c>
      <c r="S141" s="335">
        <f>(S42+S50)/S$144</f>
        <v>0.48475441501103755</v>
      </c>
      <c r="T141" s="140">
        <f t="shared" si="164"/>
        <v>0.4755799079306095</v>
      </c>
      <c r="U141" s="138"/>
      <c r="W141" s="138"/>
      <c r="X141" s="138"/>
      <c r="Y141" s="138"/>
      <c r="Z141" s="138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</row>
    <row r="142" spans="1:41" x14ac:dyDescent="0.2">
      <c r="A142" s="138"/>
      <c r="B142" s="140"/>
      <c r="C142" s="140"/>
      <c r="D142" s="140"/>
      <c r="E142" s="336"/>
      <c r="F142" s="336"/>
      <c r="G142" s="336">
        <f>SUM(G139:G141)</f>
        <v>1</v>
      </c>
      <c r="H142" s="336">
        <f>SUM(H139:H141)</f>
        <v>1</v>
      </c>
      <c r="I142" s="336">
        <f>SUM(I139:I141)</f>
        <v>1</v>
      </c>
      <c r="J142" s="336">
        <f>SUM(J139:J141)</f>
        <v>1</v>
      </c>
      <c r="K142" s="336">
        <f>SUM(K139:K141)</f>
        <v>1</v>
      </c>
      <c r="L142" s="336">
        <f t="shared" ref="L142:R142" si="171">SUM(L139:L141)</f>
        <v>1</v>
      </c>
      <c r="M142" s="336">
        <f t="shared" si="171"/>
        <v>1</v>
      </c>
      <c r="N142" s="336">
        <f t="shared" si="171"/>
        <v>0.99999999999999989</v>
      </c>
      <c r="O142" s="336">
        <f t="shared" si="171"/>
        <v>1</v>
      </c>
      <c r="P142" s="336">
        <f t="shared" si="171"/>
        <v>1</v>
      </c>
      <c r="Q142" s="336">
        <f t="shared" ref="Q142" si="172">SUM(Q139:Q141)</f>
        <v>1</v>
      </c>
      <c r="R142" s="336">
        <f t="shared" si="171"/>
        <v>1</v>
      </c>
      <c r="S142" s="336">
        <f>SUM(S139:S141)</f>
        <v>1</v>
      </c>
      <c r="T142" s="287">
        <f>AVERAGE(M142:R142)</f>
        <v>1</v>
      </c>
      <c r="U142" s="336"/>
      <c r="W142" s="138"/>
      <c r="X142" s="138"/>
      <c r="Y142" s="138"/>
      <c r="Z142" s="138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</row>
    <row r="143" spans="1:41" ht="7.5" customHeight="1" x14ac:dyDescent="0.2">
      <c r="A143" s="138"/>
      <c r="B143" s="140"/>
      <c r="C143" s="140"/>
      <c r="D143" s="140"/>
      <c r="E143" s="336"/>
      <c r="F143" s="336"/>
      <c r="G143" s="336"/>
      <c r="H143" s="336"/>
      <c r="I143" s="336"/>
      <c r="J143" s="336"/>
      <c r="K143" s="336"/>
      <c r="L143" s="336"/>
      <c r="M143" s="336"/>
      <c r="N143" s="336"/>
      <c r="O143" s="336"/>
      <c r="P143" s="336"/>
      <c r="Q143" s="336"/>
      <c r="R143" s="336"/>
      <c r="S143" s="336"/>
      <c r="T143" s="159"/>
      <c r="U143" s="138"/>
      <c r="W143" s="138"/>
      <c r="X143" s="138"/>
      <c r="Y143" s="138"/>
      <c r="Z143" s="138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</row>
    <row r="144" spans="1:41" x14ac:dyDescent="0.2">
      <c r="A144" s="138" t="s">
        <v>155</v>
      </c>
      <c r="B144" s="337">
        <f t="shared" ref="B144:K144" si="173">B42+B50+B58+B63</f>
        <v>8845.6999999999989</v>
      </c>
      <c r="C144" s="337">
        <f t="shared" si="173"/>
        <v>6930.2000000000007</v>
      </c>
      <c r="D144" s="337">
        <f t="shared" si="173"/>
        <v>7047.2</v>
      </c>
      <c r="E144" s="138">
        <f t="shared" si="173"/>
        <v>7198.5</v>
      </c>
      <c r="F144" s="138">
        <f t="shared" si="173"/>
        <v>7136.5</v>
      </c>
      <c r="G144" s="138">
        <f t="shared" si="173"/>
        <v>7324.8</v>
      </c>
      <c r="H144" s="138">
        <f t="shared" si="173"/>
        <v>8031</v>
      </c>
      <c r="I144" s="138">
        <f t="shared" si="173"/>
        <v>10247</v>
      </c>
      <c r="J144" s="138">
        <f t="shared" si="173"/>
        <v>11635</v>
      </c>
      <c r="K144" s="138">
        <f t="shared" si="173"/>
        <v>13148</v>
      </c>
      <c r="L144" s="138">
        <f t="shared" ref="L144:R144" si="174">L42+L50+L58+L63</f>
        <v>13712</v>
      </c>
      <c r="M144" s="138">
        <f t="shared" si="174"/>
        <v>13525</v>
      </c>
      <c r="N144" s="138">
        <f t="shared" si="174"/>
        <v>14505</v>
      </c>
      <c r="O144" s="138">
        <f t="shared" si="174"/>
        <v>14664</v>
      </c>
      <c r="P144" s="138">
        <f t="shared" si="174"/>
        <v>14775</v>
      </c>
      <c r="Q144" s="138">
        <f t="shared" ref="Q144" si="175">Q42+Q50+Q58+Q63</f>
        <v>14649</v>
      </c>
      <c r="R144" s="138">
        <f t="shared" si="174"/>
        <v>14469</v>
      </c>
      <c r="S144" s="138">
        <f>S42+S50+S58+S63</f>
        <v>14496</v>
      </c>
      <c r="T144" s="288">
        <f>AVERAGE(M144:R144)</f>
        <v>14431.166666666666</v>
      </c>
      <c r="U144" s="138"/>
      <c r="W144" s="138"/>
      <c r="X144" s="138"/>
      <c r="Y144" s="138"/>
      <c r="Z144" s="138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</row>
    <row r="145" spans="1:41" x14ac:dyDescent="0.2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40"/>
      <c r="U145" s="138"/>
      <c r="W145" s="138"/>
      <c r="X145" s="138"/>
      <c r="Y145" s="138"/>
      <c r="Z145" s="138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</row>
    <row r="146" spans="1:41" x14ac:dyDescent="0.2">
      <c r="A146" s="165" t="s">
        <v>67</v>
      </c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40"/>
      <c r="U146" s="138"/>
      <c r="W146" s="138"/>
      <c r="X146" s="138"/>
      <c r="Y146" s="138"/>
      <c r="Z146" s="138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</row>
    <row r="147" spans="1:41" x14ac:dyDescent="0.2">
      <c r="A147" s="138" t="s">
        <v>213</v>
      </c>
      <c r="B147" s="138"/>
      <c r="C147" s="138"/>
      <c r="D147" s="138"/>
      <c r="E147" s="138"/>
      <c r="F147" s="138"/>
      <c r="G147" s="138"/>
      <c r="H147" s="139" t="s">
        <v>156</v>
      </c>
      <c r="I147" s="139"/>
      <c r="J147" s="139"/>
      <c r="K147" s="139"/>
      <c r="L147" s="139" t="s">
        <v>192</v>
      </c>
      <c r="M147" s="139" t="s">
        <v>192</v>
      </c>
      <c r="N147" s="139" t="s">
        <v>192</v>
      </c>
      <c r="O147" s="139" t="s">
        <v>192</v>
      </c>
      <c r="P147" s="139" t="s">
        <v>192</v>
      </c>
      <c r="Q147" s="139" t="s">
        <v>226</v>
      </c>
      <c r="R147" s="139" t="s">
        <v>226</v>
      </c>
      <c r="S147" s="343" t="s">
        <v>226</v>
      </c>
      <c r="T147" s="140"/>
      <c r="U147" s="138"/>
      <c r="W147" s="138"/>
      <c r="X147" s="138"/>
      <c r="Y147" s="138"/>
      <c r="Z147" s="138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</row>
    <row r="148" spans="1:41" x14ac:dyDescent="0.2">
      <c r="A148" s="138" t="s">
        <v>68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9" t="s">
        <v>212</v>
      </c>
      <c r="O148" s="139" t="s">
        <v>212</v>
      </c>
      <c r="P148" s="139" t="s">
        <v>212</v>
      </c>
      <c r="Q148" s="139" t="s">
        <v>227</v>
      </c>
      <c r="R148" s="139" t="s">
        <v>227</v>
      </c>
      <c r="S148" s="343" t="s">
        <v>227</v>
      </c>
      <c r="T148" s="140"/>
      <c r="U148" s="138"/>
      <c r="W148" s="138"/>
      <c r="X148" s="138"/>
      <c r="Y148" s="138"/>
      <c r="Z148" s="138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</row>
    <row r="149" spans="1:41" x14ac:dyDescent="0.2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40"/>
      <c r="U149" s="161"/>
      <c r="W149" s="138"/>
      <c r="X149" s="138"/>
      <c r="Y149" s="138"/>
      <c r="Z149" s="138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</row>
    <row r="150" spans="1:41" x14ac:dyDescent="0.2">
      <c r="A150" s="161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</row>
    <row r="151" spans="1:41" x14ac:dyDescent="0.2">
      <c r="A151" s="161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</row>
    <row r="152" spans="1:41" x14ac:dyDescent="0.2">
      <c r="A152" s="162"/>
      <c r="B152" s="338"/>
      <c r="C152" s="338"/>
      <c r="D152" s="338"/>
      <c r="E152" s="338"/>
      <c r="F152" s="338"/>
      <c r="G152" s="338"/>
      <c r="H152" s="338"/>
      <c r="I152" s="338"/>
      <c r="J152" s="338"/>
      <c r="K152" s="338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</row>
    <row r="153" spans="1:41" x14ac:dyDescent="0.2">
      <c r="A153" s="16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</row>
    <row r="154" spans="1:41" x14ac:dyDescent="0.2">
      <c r="A154" s="16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</row>
    <row r="155" spans="1:41" ht="7.5" customHeight="1" x14ac:dyDescent="0.2">
      <c r="A155" s="162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</row>
    <row r="156" spans="1:41" x14ac:dyDescent="0.2">
      <c r="A156" s="16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</row>
    <row r="157" spans="1:41" x14ac:dyDescent="0.2">
      <c r="A157" s="16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</row>
    <row r="158" spans="1:41" x14ac:dyDescent="0.2"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</row>
  </sheetData>
  <sortState ref="V101:AO101">
    <sortCondition sortBy="cellColor" ref="AO99" dxfId="0"/>
  </sortState>
  <phoneticPr fontId="6" type="noConversion"/>
  <printOptions horizontalCentered="1"/>
  <pageMargins left="0.5" right="0.5" top="1" bottom="1" header="0.5" footer="0.5"/>
  <pageSetup scale="66" fitToHeight="5" orientation="portrait" r:id="rId1"/>
  <headerFooter alignWithMargins="0"/>
  <rowBreaks count="2" manualBreakCount="2">
    <brk id="65" max="26" man="1"/>
    <brk id="103" max="26" man="1"/>
  </rowBreaks>
  <colBreaks count="1" manualBreakCount="1">
    <brk id="20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6"/>
  <sheetViews>
    <sheetView showGridLines="0" zoomScaleNormal="100" workbookViewId="0">
      <selection activeCell="S49" sqref="S49"/>
    </sheetView>
  </sheetViews>
  <sheetFormatPr defaultRowHeight="12.75" x14ac:dyDescent="0.2"/>
  <cols>
    <col min="1" max="1" width="49.140625" style="32" customWidth="1"/>
    <col min="2" max="5" width="10.7109375" style="24" hidden="1" customWidth="1"/>
    <col min="6" max="6" width="10.7109375" style="33" hidden="1" customWidth="1"/>
    <col min="7" max="11" width="10.7109375" style="24" hidden="1" customWidth="1"/>
    <col min="12" max="12" width="8.7109375" style="293" hidden="1" customWidth="1"/>
    <col min="13" max="19" width="8.7109375" style="293" customWidth="1"/>
    <col min="20" max="20" width="10.7109375" style="24" customWidth="1"/>
    <col min="21" max="16384" width="9.140625" style="24"/>
  </cols>
  <sheetData>
    <row r="1" spans="1:20" x14ac:dyDescent="0.2">
      <c r="T1" s="193" t="s">
        <v>113</v>
      </c>
    </row>
    <row r="2" spans="1:20" x14ac:dyDescent="0.2">
      <c r="T2" s="54" t="s">
        <v>116</v>
      </c>
    </row>
    <row r="3" spans="1:20" ht="18.75" x14ac:dyDescent="0.3">
      <c r="A3" s="40" t="str">
        <f>Historical!A4</f>
        <v>PacifiCorp</v>
      </c>
      <c r="B3" s="39"/>
      <c r="C3" s="39"/>
      <c r="D3" s="39"/>
      <c r="E3" s="39"/>
      <c r="F3" s="41"/>
      <c r="G3" s="39"/>
      <c r="H3" s="39"/>
      <c r="I3" s="39"/>
      <c r="J3" s="39"/>
      <c r="K3" s="39"/>
      <c r="L3" s="294"/>
      <c r="M3" s="294"/>
      <c r="N3" s="294"/>
      <c r="O3" s="294"/>
      <c r="P3" s="294"/>
      <c r="Q3" s="294"/>
      <c r="R3" s="294"/>
      <c r="S3" s="294"/>
      <c r="T3" s="56"/>
    </row>
    <row r="4" spans="1:20" ht="15.75" x14ac:dyDescent="0.25">
      <c r="A4" s="50" t="s">
        <v>111</v>
      </c>
      <c r="B4" s="39"/>
      <c r="C4" s="39"/>
      <c r="D4" s="39"/>
      <c r="E4" s="39"/>
      <c r="F4" s="41"/>
      <c r="G4" s="39"/>
      <c r="H4" s="39"/>
      <c r="I4" s="39"/>
      <c r="J4" s="39"/>
      <c r="K4" s="39"/>
      <c r="L4" s="294"/>
      <c r="M4" s="294"/>
      <c r="N4" s="294"/>
      <c r="O4" s="294"/>
      <c r="P4" s="294"/>
      <c r="Q4" s="294"/>
      <c r="R4" s="294"/>
      <c r="S4" s="294"/>
      <c r="T4" s="39"/>
    </row>
    <row r="5" spans="1:20" s="32" customFormat="1" x14ac:dyDescent="0.2">
      <c r="A5" s="51" t="str">
        <f>Historical!A6</f>
        <v>Fiscal Years Ended December 31, 2011-2016; Three Months Ended March 31, 2017</v>
      </c>
      <c r="B5" s="43"/>
      <c r="C5" s="43"/>
      <c r="D5" s="43"/>
      <c r="E5" s="43"/>
      <c r="F5" s="45"/>
      <c r="G5" s="43"/>
      <c r="H5" s="43"/>
      <c r="I5" s="43"/>
      <c r="J5" s="43"/>
      <c r="K5" s="43"/>
      <c r="L5" s="295"/>
      <c r="M5" s="295"/>
      <c r="N5" s="295"/>
      <c r="O5" s="295"/>
      <c r="P5" s="295"/>
      <c r="Q5" s="295"/>
      <c r="R5" s="295"/>
      <c r="S5" s="295"/>
      <c r="T5" s="43"/>
    </row>
    <row r="6" spans="1:20" s="32" customFormat="1" x14ac:dyDescent="0.2">
      <c r="A6" s="51" t="str">
        <f>Historical!A7</f>
        <v xml:space="preserve">  </v>
      </c>
      <c r="B6" s="43"/>
      <c r="C6" s="43"/>
      <c r="D6" s="43"/>
      <c r="E6" s="43"/>
      <c r="F6" s="45"/>
      <c r="G6" s="43"/>
      <c r="H6" s="43"/>
      <c r="I6" s="43"/>
      <c r="J6" s="43"/>
      <c r="K6" s="43"/>
      <c r="L6" s="295"/>
      <c r="M6" s="295"/>
      <c r="N6" s="295"/>
      <c r="O6" s="295"/>
      <c r="P6" s="295"/>
      <c r="Q6" s="295"/>
      <c r="R6" s="295"/>
      <c r="S6" s="295"/>
      <c r="T6" s="43"/>
    </row>
    <row r="7" spans="1:20" x14ac:dyDescent="0.2">
      <c r="A7" s="203"/>
      <c r="B7" s="203"/>
      <c r="C7" s="203"/>
      <c r="D7" s="203"/>
      <c r="E7" s="203"/>
      <c r="F7" s="204"/>
      <c r="G7" s="203"/>
      <c r="H7" s="203"/>
      <c r="I7" s="205"/>
      <c r="J7" s="205"/>
      <c r="K7" s="205"/>
      <c r="L7" s="296"/>
      <c r="M7" s="296"/>
      <c r="N7" s="296"/>
      <c r="O7" s="296"/>
      <c r="P7" s="296"/>
      <c r="Q7" s="296"/>
      <c r="R7" s="296"/>
      <c r="S7" s="296"/>
      <c r="T7" s="206" t="str">
        <f>Historical!T8</f>
        <v>2011-2016</v>
      </c>
    </row>
    <row r="8" spans="1:20" x14ac:dyDescent="0.2">
      <c r="A8" s="207"/>
      <c r="B8" s="344"/>
      <c r="C8" s="344"/>
      <c r="D8" s="344"/>
      <c r="E8" s="344"/>
      <c r="F8" s="344"/>
      <c r="G8" s="344"/>
      <c r="H8" s="173"/>
      <c r="I8" s="208"/>
      <c r="J8" s="208"/>
      <c r="K8" s="208"/>
      <c r="L8" s="297"/>
      <c r="M8" s="297"/>
      <c r="N8" s="297"/>
      <c r="O8" s="297"/>
      <c r="P8" s="298"/>
      <c r="Q8" s="298"/>
      <c r="R8" s="298"/>
      <c r="S8" s="298" t="str">
        <f>Historical!S9</f>
        <v>3 Mos.</v>
      </c>
      <c r="T8" s="174" t="s">
        <v>4</v>
      </c>
    </row>
    <row r="9" spans="1:20" x14ac:dyDescent="0.2">
      <c r="A9" s="207"/>
      <c r="B9" s="209">
        <f>Historical!B10</f>
        <v>2000</v>
      </c>
      <c r="C9" s="209">
        <f>Historical!C10</f>
        <v>2001</v>
      </c>
      <c r="D9" s="209">
        <f>Historical!D10</f>
        <v>2002</v>
      </c>
      <c r="E9" s="209">
        <f>Historical!E10</f>
        <v>2003</v>
      </c>
      <c r="F9" s="209">
        <f>Historical!F10</f>
        <v>2004</v>
      </c>
      <c r="G9" s="209">
        <f>Historical!G10</f>
        <v>2005</v>
      </c>
      <c r="H9" s="209">
        <f>Historical!H10</f>
        <v>2006</v>
      </c>
      <c r="I9" s="209">
        <f>Historical!I10</f>
        <v>2007</v>
      </c>
      <c r="J9" s="209">
        <f>Historical!J10</f>
        <v>2008</v>
      </c>
      <c r="K9" s="209">
        <f>Historical!K10</f>
        <v>2009</v>
      </c>
      <c r="L9" s="283">
        <f>Historical!L10</f>
        <v>2010</v>
      </c>
      <c r="M9" s="283">
        <f>Historical!M10</f>
        <v>2011</v>
      </c>
      <c r="N9" s="283">
        <f>Historical!N10</f>
        <v>2012</v>
      </c>
      <c r="O9" s="283">
        <f>Historical!O10</f>
        <v>2013</v>
      </c>
      <c r="P9" s="283">
        <f>Historical!P10</f>
        <v>2014</v>
      </c>
      <c r="Q9" s="283">
        <f>Historical!Q10</f>
        <v>2015</v>
      </c>
      <c r="R9" s="283">
        <f>Historical!R10</f>
        <v>2016</v>
      </c>
      <c r="S9" s="283" t="str">
        <f>Historical!S10</f>
        <v>Mar. 2017</v>
      </c>
      <c r="T9" s="177" t="s">
        <v>23</v>
      </c>
    </row>
    <row r="10" spans="1:20" ht="7.5" customHeight="1" x14ac:dyDescent="0.2">
      <c r="A10" s="207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98"/>
      <c r="M10" s="298"/>
      <c r="N10" s="298"/>
      <c r="O10" s="298"/>
      <c r="P10" s="298"/>
      <c r="Q10" s="298"/>
      <c r="R10" s="298"/>
      <c r="S10" s="298"/>
      <c r="T10" s="253"/>
    </row>
    <row r="11" spans="1:20" x14ac:dyDescent="0.2">
      <c r="A11" s="210" t="s">
        <v>71</v>
      </c>
      <c r="B11" s="61"/>
      <c r="C11" s="26"/>
      <c r="D11" s="26"/>
      <c r="E11" s="26"/>
      <c r="F11" s="26"/>
      <c r="G11" s="26"/>
      <c r="H11" s="62"/>
      <c r="I11" s="12"/>
      <c r="J11" s="12"/>
      <c r="K11" s="12"/>
      <c r="L11" s="299"/>
      <c r="M11" s="299"/>
      <c r="N11" s="299"/>
      <c r="O11" s="299"/>
      <c r="P11" s="299"/>
      <c r="Q11" s="299"/>
      <c r="R11" s="299"/>
      <c r="S11" s="299"/>
    </row>
    <row r="12" spans="1:20" x14ac:dyDescent="0.2">
      <c r="A12" s="27" t="s">
        <v>72</v>
      </c>
      <c r="B12" s="61">
        <f>Historical!B99</f>
        <v>83.69999999999996</v>
      </c>
      <c r="C12" s="61">
        <f>Historical!C99</f>
        <v>-88.200000000000017</v>
      </c>
      <c r="D12" s="61">
        <f>Historical!D99</f>
        <v>327.29999999999995</v>
      </c>
      <c r="E12" s="61">
        <f>Historical!E99</f>
        <v>140.09999999999962</v>
      </c>
      <c r="F12" s="61">
        <f>Historical!F99</f>
        <v>248.09999999999968</v>
      </c>
      <c r="G12" s="61">
        <f>Historical!G99</f>
        <v>251.70000000000016</v>
      </c>
      <c r="H12" s="254">
        <f>Historical!H99</f>
        <v>360.69999999999959</v>
      </c>
      <c r="I12" s="254">
        <f>Historical!I99</f>
        <v>445</v>
      </c>
      <c r="J12" s="254">
        <f>Historical!J99</f>
        <v>465</v>
      </c>
      <c r="K12" s="254">
        <f>Historical!K99</f>
        <v>550</v>
      </c>
      <c r="L12" s="307">
        <f>Historical!L99</f>
        <v>566</v>
      </c>
      <c r="M12" s="307">
        <f>Historical!M99</f>
        <v>555</v>
      </c>
      <c r="N12" s="307">
        <f>Historical!N99</f>
        <v>537</v>
      </c>
      <c r="O12" s="307">
        <f>Historical!O99</f>
        <v>682</v>
      </c>
      <c r="P12" s="307">
        <f>Historical!P99</f>
        <v>698</v>
      </c>
      <c r="Q12" s="307">
        <f>Historical!Q99</f>
        <v>695</v>
      </c>
      <c r="R12" s="307">
        <f>Historical!R99</f>
        <v>763</v>
      </c>
      <c r="S12" s="307">
        <v>179</v>
      </c>
      <c r="T12" s="179">
        <f>RATE(($R$9-$M$9),,-M12,R12)</f>
        <v>6.5727839924832387E-2</v>
      </c>
    </row>
    <row r="13" spans="1:20" x14ac:dyDescent="0.2">
      <c r="A13" s="25" t="s">
        <v>73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08"/>
      <c r="M13" s="308"/>
      <c r="N13" s="308"/>
      <c r="O13" s="308"/>
      <c r="P13" s="308"/>
      <c r="Q13" s="308"/>
      <c r="R13" s="308"/>
      <c r="S13" s="308"/>
      <c r="T13" s="179"/>
    </row>
    <row r="14" spans="1:20" x14ac:dyDescent="0.2">
      <c r="A14" s="25" t="s">
        <v>74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08"/>
      <c r="M14" s="308"/>
      <c r="N14" s="308"/>
      <c r="O14" s="308"/>
      <c r="P14" s="308"/>
      <c r="Q14" s="308"/>
      <c r="R14" s="308"/>
      <c r="S14" s="308"/>
      <c r="T14" s="179"/>
    </row>
    <row r="15" spans="1:20" hidden="1" x14ac:dyDescent="0.2">
      <c r="A15" s="60" t="s">
        <v>75</v>
      </c>
      <c r="B15" s="28">
        <v>-1.1000000000000001</v>
      </c>
      <c r="C15" s="26">
        <v>0</v>
      </c>
      <c r="D15" s="26">
        <v>-146.69999999999999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/>
      <c r="L15" s="309"/>
      <c r="M15" s="309"/>
      <c r="N15" s="309"/>
      <c r="O15" s="309"/>
      <c r="P15" s="309"/>
      <c r="Q15" s="309"/>
      <c r="R15" s="309"/>
      <c r="S15" s="309"/>
      <c r="T15" s="179" t="e">
        <f>RATE(($O$9-$J$9),,-J15,O15)</f>
        <v>#NUM!</v>
      </c>
    </row>
    <row r="16" spans="1:20" hidden="1" x14ac:dyDescent="0.2">
      <c r="A16" s="27" t="s">
        <v>77</v>
      </c>
      <c r="B16" s="63">
        <v>0</v>
      </c>
      <c r="C16" s="26">
        <v>0</v>
      </c>
      <c r="D16" s="26">
        <v>112.8</v>
      </c>
      <c r="E16" s="26">
        <v>1.9</v>
      </c>
      <c r="F16" s="26">
        <v>0.9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309">
        <v>0</v>
      </c>
      <c r="M16" s="309">
        <v>0</v>
      </c>
      <c r="N16" s="309">
        <v>0</v>
      </c>
      <c r="O16" s="309">
        <v>0</v>
      </c>
      <c r="P16" s="309">
        <v>0</v>
      </c>
      <c r="Q16" s="309">
        <v>0</v>
      </c>
      <c r="R16" s="309">
        <v>0</v>
      </c>
      <c r="S16" s="309">
        <v>0</v>
      </c>
      <c r="T16" s="179" t="e">
        <f>RATE(($O$9-$J$9),,-J16,O16)</f>
        <v>#NUM!</v>
      </c>
    </row>
    <row r="17" spans="1:21" hidden="1" x14ac:dyDescent="0.2">
      <c r="A17" s="27" t="s">
        <v>78</v>
      </c>
      <c r="B17" s="63">
        <v>0</v>
      </c>
      <c r="C17" s="26">
        <v>0</v>
      </c>
      <c r="D17" s="26">
        <v>-182.8</v>
      </c>
      <c r="E17" s="26">
        <v>-3.1</v>
      </c>
      <c r="F17" s="26">
        <v>-6.1</v>
      </c>
      <c r="G17" s="26">
        <v>-8.4</v>
      </c>
      <c r="H17" s="26">
        <v>-86.8</v>
      </c>
      <c r="I17" s="26">
        <v>0</v>
      </c>
      <c r="J17" s="26">
        <v>0</v>
      </c>
      <c r="K17" s="26">
        <v>0</v>
      </c>
      <c r="L17" s="309">
        <v>0</v>
      </c>
      <c r="M17" s="309">
        <v>0</v>
      </c>
      <c r="N17" s="309">
        <v>0</v>
      </c>
      <c r="O17" s="309">
        <v>0</v>
      </c>
      <c r="P17" s="309">
        <v>0</v>
      </c>
      <c r="Q17" s="309">
        <v>0</v>
      </c>
      <c r="R17" s="309">
        <v>0</v>
      </c>
      <c r="S17" s="309">
        <v>0</v>
      </c>
      <c r="T17" s="179" t="e">
        <f>RATE(($O$9-$J$9),,-J17,O17)</f>
        <v>#NUM!</v>
      </c>
    </row>
    <row r="18" spans="1:21" x14ac:dyDescent="0.2">
      <c r="A18" s="27" t="s">
        <v>79</v>
      </c>
      <c r="B18" s="61">
        <v>456.3</v>
      </c>
      <c r="C18" s="26">
        <v>429</v>
      </c>
      <c r="D18" s="26">
        <v>403</v>
      </c>
      <c r="E18" s="26">
        <v>434.3</v>
      </c>
      <c r="F18" s="26">
        <v>428.8</v>
      </c>
      <c r="G18" s="26">
        <v>436.9</v>
      </c>
      <c r="H18" s="26">
        <v>448.3</v>
      </c>
      <c r="I18" s="26">
        <v>497</v>
      </c>
      <c r="J18" s="26">
        <v>490</v>
      </c>
      <c r="K18" s="26">
        <v>549</v>
      </c>
      <c r="L18" s="309">
        <v>561</v>
      </c>
      <c r="M18" s="309">
        <v>611</v>
      </c>
      <c r="N18" s="309">
        <v>640</v>
      </c>
      <c r="O18" s="309">
        <v>675</v>
      </c>
      <c r="P18" s="309">
        <v>726</v>
      </c>
      <c r="Q18" s="309">
        <v>757</v>
      </c>
      <c r="R18" s="309">
        <v>770</v>
      </c>
      <c r="S18" s="309">
        <v>196</v>
      </c>
      <c r="T18" s="5">
        <f>RATE(($R$9-$M$9),,-M18,R18)</f>
        <v>4.7345335810623564E-2</v>
      </c>
    </row>
    <row r="19" spans="1:21" x14ac:dyDescent="0.2">
      <c r="A19" s="27" t="s">
        <v>80</v>
      </c>
      <c r="B19" s="64">
        <v>136.69999999999999</v>
      </c>
      <c r="C19" s="26">
        <v>-26.4</v>
      </c>
      <c r="D19" s="26">
        <v>60.9</v>
      </c>
      <c r="E19" s="26">
        <v>31.8</v>
      </c>
      <c r="F19" s="26">
        <v>80.5</v>
      </c>
      <c r="G19" s="26">
        <v>120</v>
      </c>
      <c r="H19" s="26">
        <v>13.9</v>
      </c>
      <c r="I19" s="26">
        <v>39</v>
      </c>
      <c r="J19" s="26">
        <v>308</v>
      </c>
      <c r="K19" s="26">
        <v>645</v>
      </c>
      <c r="L19" s="309">
        <v>710</v>
      </c>
      <c r="M19" s="309">
        <v>374</v>
      </c>
      <c r="N19" s="309">
        <v>312</v>
      </c>
      <c r="O19" s="309">
        <v>230</v>
      </c>
      <c r="P19" s="309">
        <v>297</v>
      </c>
      <c r="Q19" s="309">
        <v>172</v>
      </c>
      <c r="R19" s="309">
        <v>139</v>
      </c>
      <c r="S19" s="309">
        <v>-7</v>
      </c>
      <c r="T19" s="5">
        <f t="shared" ref="T19:T22" si="0">RATE(($R$9-$M$9),,-M19,R19)</f>
        <v>-0.1795943556883553</v>
      </c>
    </row>
    <row r="20" spans="1:21" hidden="1" x14ac:dyDescent="0.2">
      <c r="A20" s="29" t="s">
        <v>81</v>
      </c>
      <c r="B20" s="64">
        <v>-1</v>
      </c>
      <c r="C20" s="26">
        <v>189.2</v>
      </c>
      <c r="D20" s="26">
        <v>-52.6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/>
      <c r="L20" s="309"/>
      <c r="M20" s="309"/>
      <c r="N20" s="309"/>
      <c r="O20" s="309"/>
      <c r="P20" s="309"/>
      <c r="Q20" s="309"/>
      <c r="R20" s="309"/>
      <c r="S20" s="309"/>
      <c r="T20" s="5" t="e">
        <f t="shared" si="0"/>
        <v>#NUM!</v>
      </c>
    </row>
    <row r="21" spans="1:21" x14ac:dyDescent="0.2">
      <c r="A21" s="27" t="s">
        <v>82</v>
      </c>
      <c r="B21" s="61">
        <v>0</v>
      </c>
      <c r="C21" s="26">
        <v>-35.1</v>
      </c>
      <c r="D21" s="26">
        <v>-210.9</v>
      </c>
      <c r="E21" s="26">
        <v>146.80000000000001</v>
      </c>
      <c r="F21" s="26">
        <v>111.1</v>
      </c>
      <c r="G21" s="26">
        <v>66.7</v>
      </c>
      <c r="H21" s="26">
        <v>51.6</v>
      </c>
      <c r="I21" s="26">
        <v>-45</v>
      </c>
      <c r="J21" s="26">
        <v>-37</v>
      </c>
      <c r="K21" s="26">
        <v>5</v>
      </c>
      <c r="L21" s="309">
        <v>4</v>
      </c>
      <c r="M21" s="309">
        <v>-23</v>
      </c>
      <c r="N21" s="309">
        <v>1</v>
      </c>
      <c r="O21" s="309">
        <v>-32</v>
      </c>
      <c r="P21" s="309">
        <v>-112</v>
      </c>
      <c r="Q21" s="309">
        <v>63</v>
      </c>
      <c r="R21" s="309">
        <v>122</v>
      </c>
      <c r="S21" s="309">
        <v>-5</v>
      </c>
      <c r="T21" s="5"/>
    </row>
    <row r="22" spans="1:21" x14ac:dyDescent="0.2">
      <c r="A22" s="27" t="s">
        <v>83</v>
      </c>
      <c r="B22" s="64">
        <f>43.3-8.1-3.2-11.2-40.3+71</f>
        <v>51.5</v>
      </c>
      <c r="C22" s="26">
        <f>-3.9+16.4-137.5-39.4</f>
        <v>-164.4</v>
      </c>
      <c r="D22" s="26">
        <v>65</v>
      </c>
      <c r="E22" s="26">
        <v>3.4</v>
      </c>
      <c r="F22" s="26">
        <v>-6.5</v>
      </c>
      <c r="G22" s="26">
        <v>-27</v>
      </c>
      <c r="H22" s="26">
        <v>50</v>
      </c>
      <c r="I22" s="26">
        <v>3</v>
      </c>
      <c r="J22" s="26">
        <v>-10</v>
      </c>
      <c r="K22" s="26">
        <v>-32</v>
      </c>
      <c r="L22" s="309">
        <v>-58</v>
      </c>
      <c r="M22" s="309">
        <v>-25</v>
      </c>
      <c r="N22" s="309">
        <v>-32</v>
      </c>
      <c r="O22" s="309">
        <f>21-57</f>
        <v>-36</v>
      </c>
      <c r="P22" s="309">
        <f>22-51</f>
        <v>-29</v>
      </c>
      <c r="Q22" s="309">
        <f>6-33</f>
        <v>-27</v>
      </c>
      <c r="R22" s="309">
        <f>4-27</f>
        <v>-23</v>
      </c>
      <c r="S22" s="309">
        <v>19</v>
      </c>
      <c r="T22" s="5">
        <f t="shared" si="0"/>
        <v>-1.65380416685676E-2</v>
      </c>
    </row>
    <row r="23" spans="1:21" x14ac:dyDescent="0.2">
      <c r="A23" s="25" t="s">
        <v>84</v>
      </c>
      <c r="B23" s="61"/>
      <c r="C23" s="26"/>
      <c r="D23" s="26"/>
      <c r="E23" s="26"/>
      <c r="F23" s="26"/>
      <c r="G23" s="26"/>
      <c r="H23" s="26"/>
      <c r="I23" s="26"/>
      <c r="J23" s="26"/>
      <c r="K23" s="26"/>
      <c r="L23" s="309"/>
      <c r="M23" s="309"/>
      <c r="N23" s="309"/>
      <c r="O23" s="309"/>
      <c r="P23" s="309"/>
      <c r="Q23" s="309"/>
      <c r="R23" s="309"/>
      <c r="S23" s="309"/>
      <c r="T23" s="5"/>
    </row>
    <row r="24" spans="1:21" x14ac:dyDescent="0.2">
      <c r="A24" s="27" t="s">
        <v>85</v>
      </c>
      <c r="B24" s="64">
        <v>-40.9</v>
      </c>
      <c r="C24" s="26">
        <v>-161.80000000000001</v>
      </c>
      <c r="D24" s="26">
        <v>165.2</v>
      </c>
      <c r="E24" s="26">
        <v>7.6</v>
      </c>
      <c r="F24" s="26">
        <v>-1.7</v>
      </c>
      <c r="G24" s="26">
        <v>-137.80000000000001</v>
      </c>
      <c r="H24" s="26">
        <v>71.099999999999994</v>
      </c>
      <c r="I24" s="26">
        <v>-81</v>
      </c>
      <c r="J24" s="26">
        <v>3</v>
      </c>
      <c r="K24" s="26">
        <v>-5</v>
      </c>
      <c r="L24" s="309">
        <v>-14</v>
      </c>
      <c r="M24" s="309">
        <v>-42</v>
      </c>
      <c r="N24" s="309">
        <v>-17</v>
      </c>
      <c r="O24" s="309">
        <v>-7</v>
      </c>
      <c r="P24" s="309">
        <v>5</v>
      </c>
      <c r="Q24" s="309">
        <v>5</v>
      </c>
      <c r="R24" s="309">
        <v>-25</v>
      </c>
      <c r="S24" s="309">
        <v>102</v>
      </c>
      <c r="T24" s="5"/>
    </row>
    <row r="25" spans="1:21" x14ac:dyDescent="0.2">
      <c r="A25" s="27" t="s">
        <v>193</v>
      </c>
      <c r="B25" s="64"/>
      <c r="C25" s="26"/>
      <c r="D25" s="26"/>
      <c r="E25" s="26"/>
      <c r="F25" s="26"/>
      <c r="G25" s="26"/>
      <c r="H25" s="26"/>
      <c r="I25" s="26">
        <v>0</v>
      </c>
      <c r="J25" s="26">
        <v>-82</v>
      </c>
      <c r="K25" s="26">
        <v>57</v>
      </c>
      <c r="L25" s="309">
        <v>-102</v>
      </c>
      <c r="M25" s="309">
        <v>4</v>
      </c>
      <c r="N25" s="309">
        <v>68</v>
      </c>
      <c r="O25" s="309">
        <v>43</v>
      </c>
      <c r="P25" s="309">
        <v>-16</v>
      </c>
      <c r="Q25" s="309">
        <v>-47</v>
      </c>
      <c r="R25" s="309">
        <v>6</v>
      </c>
      <c r="S25" s="309">
        <v>-7</v>
      </c>
      <c r="T25" s="5"/>
    </row>
    <row r="26" spans="1:21" x14ac:dyDescent="0.2">
      <c r="A26" s="27" t="s">
        <v>86</v>
      </c>
      <c r="B26" s="64">
        <v>3.9</v>
      </c>
      <c r="C26" s="26">
        <v>-9.3000000000000007</v>
      </c>
      <c r="D26" s="26">
        <v>7</v>
      </c>
      <c r="E26" s="26">
        <v>-17.8</v>
      </c>
      <c r="F26" s="26">
        <v>14.1</v>
      </c>
      <c r="G26" s="26">
        <v>-16.2</v>
      </c>
      <c r="H26" s="26">
        <v>-38.9</v>
      </c>
      <c r="I26" s="26">
        <v>-48</v>
      </c>
      <c r="J26" s="26">
        <v>-52</v>
      </c>
      <c r="K26" s="26">
        <v>-39</v>
      </c>
      <c r="L26" s="309">
        <v>-26</v>
      </c>
      <c r="M26" s="309">
        <v>-59</v>
      </c>
      <c r="N26" s="309">
        <v>-35</v>
      </c>
      <c r="O26" s="309">
        <v>14</v>
      </c>
      <c r="P26" s="309">
        <v>37</v>
      </c>
      <c r="Q26" s="309">
        <v>-7</v>
      </c>
      <c r="R26" s="309">
        <v>-21</v>
      </c>
      <c r="S26" s="309">
        <v>2</v>
      </c>
      <c r="T26" s="5">
        <f t="shared" ref="T26:T27" si="1">RATE(($R$9-$M$9),,-M26,R26)</f>
        <v>-0.18665751813896239</v>
      </c>
    </row>
    <row r="27" spans="1:21" x14ac:dyDescent="0.2">
      <c r="A27" s="255" t="s">
        <v>211</v>
      </c>
      <c r="B27" s="26">
        <v>0</v>
      </c>
      <c r="C27" s="26">
        <v>0</v>
      </c>
      <c r="D27" s="26">
        <v>-11.6</v>
      </c>
      <c r="E27" s="26">
        <v>32.5</v>
      </c>
      <c r="F27" s="26">
        <v>-36.799999999999997</v>
      </c>
      <c r="G27" s="26">
        <v>-32.799999999999997</v>
      </c>
      <c r="H27" s="26">
        <f>3.6+32.6</f>
        <v>36.200000000000003</v>
      </c>
      <c r="I27" s="26">
        <v>21</v>
      </c>
      <c r="J27" s="26">
        <v>-20</v>
      </c>
      <c r="K27" s="26">
        <v>-206</v>
      </c>
      <c r="L27" s="309">
        <v>-96</v>
      </c>
      <c r="M27" s="309">
        <v>275</v>
      </c>
      <c r="N27" s="309">
        <v>118</v>
      </c>
      <c r="O27" s="309">
        <v>-26</v>
      </c>
      <c r="P27" s="309">
        <v>-155</v>
      </c>
      <c r="Q27" s="309">
        <v>116</v>
      </c>
      <c r="R27" s="309">
        <v>0</v>
      </c>
      <c r="S27" s="309">
        <v>97</v>
      </c>
      <c r="T27" s="5">
        <f t="shared" si="1"/>
        <v>-0.99999940914518248</v>
      </c>
    </row>
    <row r="28" spans="1:21" x14ac:dyDescent="0.2">
      <c r="A28" s="255" t="s">
        <v>87</v>
      </c>
      <c r="B28" s="64">
        <v>66.3</v>
      </c>
      <c r="C28" s="26">
        <v>543.79999999999995</v>
      </c>
      <c r="D28" s="26">
        <v>-151</v>
      </c>
      <c r="E28" s="26">
        <v>-97.1</v>
      </c>
      <c r="F28" s="26">
        <v>-3.3</v>
      </c>
      <c r="G28" s="26">
        <v>84.1</v>
      </c>
      <c r="H28" s="26">
        <v>-13.4</v>
      </c>
      <c r="I28" s="26">
        <v>0</v>
      </c>
      <c r="J28" s="26">
        <v>-73</v>
      </c>
      <c r="K28" s="26">
        <v>-24</v>
      </c>
      <c r="L28" s="309">
        <v>-135</v>
      </c>
      <c r="M28" s="309">
        <v>-34</v>
      </c>
      <c r="N28" s="309">
        <v>35</v>
      </c>
      <c r="O28" s="309">
        <v>10</v>
      </c>
      <c r="P28" s="309">
        <v>119</v>
      </c>
      <c r="Q28" s="309">
        <v>7</v>
      </c>
      <c r="R28" s="309">
        <v>-163</v>
      </c>
      <c r="S28" s="309">
        <v>-7</v>
      </c>
      <c r="T28" s="5"/>
    </row>
    <row r="29" spans="1:21" hidden="1" x14ac:dyDescent="0.2">
      <c r="A29" s="46" t="s">
        <v>88</v>
      </c>
      <c r="B29" s="26">
        <v>0</v>
      </c>
      <c r="C29" s="26">
        <v>-32.1</v>
      </c>
      <c r="D29" s="26">
        <v>-43</v>
      </c>
      <c r="E29" s="26">
        <v>1.2</v>
      </c>
      <c r="F29" s="26">
        <v>2.8</v>
      </c>
      <c r="G29" s="26">
        <v>-26.1</v>
      </c>
      <c r="H29" s="26">
        <v>1.9</v>
      </c>
      <c r="I29" s="26">
        <v>-7</v>
      </c>
      <c r="J29" s="26">
        <v>0</v>
      </c>
      <c r="K29" s="26">
        <v>0</v>
      </c>
      <c r="L29" s="309">
        <v>0</v>
      </c>
      <c r="M29" s="309">
        <v>0</v>
      </c>
      <c r="N29" s="309">
        <v>0</v>
      </c>
      <c r="O29" s="309">
        <v>0</v>
      </c>
      <c r="P29" s="309">
        <v>0</v>
      </c>
      <c r="Q29" s="309">
        <v>0</v>
      </c>
      <c r="R29" s="309">
        <v>0</v>
      </c>
      <c r="S29" s="309">
        <v>0</v>
      </c>
      <c r="T29" s="5" t="e">
        <f>RATE(($P$9-$K$9),,-K29,P29)</f>
        <v>#NUM!</v>
      </c>
    </row>
    <row r="30" spans="1:21" ht="7.5" customHeight="1" x14ac:dyDescent="0.2">
      <c r="A30" s="27"/>
      <c r="B30" s="61"/>
      <c r="C30" s="26"/>
      <c r="D30" s="26"/>
      <c r="E30" s="26"/>
      <c r="F30" s="26"/>
      <c r="G30" s="26"/>
      <c r="H30" s="26"/>
      <c r="I30" s="26"/>
      <c r="J30" s="26"/>
      <c r="K30" s="26"/>
      <c r="L30" s="309"/>
      <c r="M30" s="309"/>
      <c r="N30" s="309"/>
      <c r="O30" s="309"/>
      <c r="P30" s="309"/>
      <c r="Q30" s="309"/>
      <c r="R30" s="309"/>
      <c r="S30" s="309"/>
      <c r="T30" s="5"/>
    </row>
    <row r="31" spans="1:21" x14ac:dyDescent="0.2">
      <c r="A31" s="211" t="s">
        <v>89</v>
      </c>
      <c r="B31" s="212">
        <f t="shared" ref="B31:K31" si="2">SUM(B12:B30)</f>
        <v>755.39999999999986</v>
      </c>
      <c r="C31" s="212">
        <f t="shared" si="2"/>
        <v>644.69999999999982</v>
      </c>
      <c r="D31" s="212">
        <f t="shared" si="2"/>
        <v>342.5999999999998</v>
      </c>
      <c r="E31" s="212">
        <f t="shared" si="2"/>
        <v>681.59999999999957</v>
      </c>
      <c r="F31" s="212">
        <f t="shared" si="2"/>
        <v>831.89999999999975</v>
      </c>
      <c r="G31" s="212">
        <f t="shared" si="2"/>
        <v>711.10000000000014</v>
      </c>
      <c r="H31" s="212">
        <f t="shared" si="2"/>
        <v>894.59999999999968</v>
      </c>
      <c r="I31" s="212">
        <f t="shared" si="2"/>
        <v>824</v>
      </c>
      <c r="J31" s="212">
        <f t="shared" si="2"/>
        <v>992</v>
      </c>
      <c r="K31" s="212">
        <f t="shared" si="2"/>
        <v>1500</v>
      </c>
      <c r="L31" s="310">
        <f t="shared" ref="L31:R31" si="3">SUM(L11:L30)</f>
        <v>1410</v>
      </c>
      <c r="M31" s="310">
        <f t="shared" si="3"/>
        <v>1636</v>
      </c>
      <c r="N31" s="310">
        <f t="shared" si="3"/>
        <v>1627</v>
      </c>
      <c r="O31" s="310">
        <f t="shared" si="3"/>
        <v>1553</v>
      </c>
      <c r="P31" s="310">
        <f t="shared" si="3"/>
        <v>1570</v>
      </c>
      <c r="Q31" s="310">
        <f t="shared" ref="Q31" si="4">SUM(Q11:Q30)</f>
        <v>1734</v>
      </c>
      <c r="R31" s="310">
        <f t="shared" si="3"/>
        <v>1568</v>
      </c>
      <c r="S31" s="310">
        <f>SUM(S11:S30)</f>
        <v>569</v>
      </c>
      <c r="T31" s="182">
        <f>RATE(($R$9-$L$9),,-L31,R31)</f>
        <v>1.7859476287433253E-2</v>
      </c>
    </row>
    <row r="32" spans="1:21" x14ac:dyDescent="0.2">
      <c r="A32" s="27"/>
      <c r="B32" s="64"/>
      <c r="C32" s="26"/>
      <c r="D32" s="26"/>
      <c r="E32" s="26"/>
      <c r="F32" s="26"/>
      <c r="G32" s="26"/>
      <c r="H32" s="26"/>
      <c r="I32" s="262"/>
      <c r="J32" s="262"/>
      <c r="K32" s="262"/>
      <c r="L32" s="309"/>
      <c r="M32" s="309"/>
      <c r="N32" s="309"/>
      <c r="O32" s="309"/>
      <c r="P32" s="309"/>
      <c r="Q32" s="309"/>
      <c r="R32" s="309"/>
      <c r="S32" s="309"/>
      <c r="T32" s="5"/>
      <c r="U32" s="263"/>
    </row>
    <row r="33" spans="1:20" x14ac:dyDescent="0.2">
      <c r="A33" s="210" t="s">
        <v>90</v>
      </c>
      <c r="B33" s="61"/>
      <c r="C33" s="26"/>
      <c r="D33" s="26"/>
      <c r="E33" s="26"/>
      <c r="F33" s="26"/>
      <c r="G33" s="26"/>
      <c r="H33" s="26"/>
      <c r="I33" s="26"/>
      <c r="J33" s="26"/>
      <c r="K33" s="26"/>
      <c r="L33" s="309"/>
      <c r="M33" s="309"/>
      <c r="N33" s="309"/>
      <c r="O33" s="309"/>
      <c r="P33" s="309"/>
      <c r="Q33" s="309"/>
      <c r="R33" s="309"/>
      <c r="S33" s="309"/>
      <c r="T33" s="5"/>
    </row>
    <row r="34" spans="1:20" hidden="1" x14ac:dyDescent="0.2">
      <c r="A34" s="69" t="s">
        <v>143</v>
      </c>
      <c r="B34" s="28">
        <v>-2.6</v>
      </c>
      <c r="C34" s="28">
        <v>-361.3</v>
      </c>
      <c r="D34" s="28">
        <v>-358.2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309"/>
      <c r="M34" s="309"/>
      <c r="N34" s="309"/>
      <c r="O34" s="309"/>
      <c r="P34" s="309"/>
      <c r="Q34" s="309"/>
      <c r="R34" s="309"/>
      <c r="S34" s="309"/>
      <c r="T34" s="5">
        <f>RATE(($K$9-$F$9+0.75),,-B34,J34)</f>
        <v>-0.99999935422939301</v>
      </c>
    </row>
    <row r="35" spans="1:20" x14ac:dyDescent="0.2">
      <c r="A35" s="27" t="s">
        <v>92</v>
      </c>
      <c r="B35" s="28">
        <v>-574</v>
      </c>
      <c r="C35" s="26">
        <v>-485.7</v>
      </c>
      <c r="D35" s="26">
        <v>-505.3</v>
      </c>
      <c r="E35" s="26">
        <v>-550</v>
      </c>
      <c r="F35" s="26">
        <v>-690.4</v>
      </c>
      <c r="G35" s="26">
        <v>-851.6</v>
      </c>
      <c r="H35" s="26">
        <v>-1049</v>
      </c>
      <c r="I35" s="26">
        <v>-1519</v>
      </c>
      <c r="J35" s="26">
        <v>-1789</v>
      </c>
      <c r="K35" s="26">
        <v>-2328</v>
      </c>
      <c r="L35" s="309">
        <v>-1607</v>
      </c>
      <c r="M35" s="309">
        <v>-1506</v>
      </c>
      <c r="N35" s="309">
        <v>-1346</v>
      </c>
      <c r="O35" s="309">
        <v>-1065</v>
      </c>
      <c r="P35" s="309">
        <v>-1066</v>
      </c>
      <c r="Q35" s="309">
        <v>-916</v>
      </c>
      <c r="R35" s="309">
        <v>-903</v>
      </c>
      <c r="S35" s="309">
        <v>-178</v>
      </c>
      <c r="T35" s="5">
        <f t="shared" ref="T35" si="5">RATE(($R$9-$M$9),,-M35,R35)</f>
        <v>-9.7239484854812347E-2</v>
      </c>
    </row>
    <row r="36" spans="1:20" x14ac:dyDescent="0.2">
      <c r="A36" s="27" t="s">
        <v>93</v>
      </c>
      <c r="B36" s="61">
        <v>169.3</v>
      </c>
      <c r="C36" s="26">
        <v>1010</v>
      </c>
      <c r="D36" s="26">
        <v>83.2</v>
      </c>
      <c r="E36" s="26">
        <v>16.3</v>
      </c>
      <c r="F36" s="26">
        <v>3.3</v>
      </c>
      <c r="G36" s="26">
        <v>7.1</v>
      </c>
      <c r="H36" s="26">
        <v>1.3</v>
      </c>
      <c r="I36" s="26">
        <v>9</v>
      </c>
      <c r="J36" s="26">
        <v>-308</v>
      </c>
      <c r="K36" s="26">
        <v>0</v>
      </c>
      <c r="L36" s="309">
        <v>0</v>
      </c>
      <c r="M36" s="309">
        <v>0</v>
      </c>
      <c r="N36" s="309">
        <v>0</v>
      </c>
      <c r="O36" s="309">
        <v>0</v>
      </c>
      <c r="P36" s="309">
        <v>0</v>
      </c>
      <c r="Q36" s="309">
        <v>0</v>
      </c>
      <c r="R36" s="309">
        <v>0</v>
      </c>
      <c r="S36" s="309">
        <v>0</v>
      </c>
      <c r="T36" s="5"/>
    </row>
    <row r="37" spans="1:20" hidden="1" x14ac:dyDescent="0.2">
      <c r="A37" s="29" t="s">
        <v>94</v>
      </c>
      <c r="B37" s="61">
        <v>47.8</v>
      </c>
      <c r="C37" s="26">
        <v>48.5</v>
      </c>
      <c r="D37" s="26">
        <v>36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09"/>
      <c r="M37" s="309"/>
      <c r="N37" s="309"/>
      <c r="O37" s="309"/>
      <c r="P37" s="309"/>
      <c r="Q37" s="309"/>
      <c r="R37" s="309"/>
      <c r="S37" s="309"/>
      <c r="T37" s="5"/>
    </row>
    <row r="38" spans="1:20" x14ac:dyDescent="0.2">
      <c r="A38" s="27" t="s">
        <v>95</v>
      </c>
      <c r="B38" s="61">
        <v>125.9</v>
      </c>
      <c r="C38" s="26">
        <v>119.9</v>
      </c>
      <c r="D38" s="26">
        <v>120.9</v>
      </c>
      <c r="E38" s="26">
        <v>132.9</v>
      </c>
      <c r="F38" s="26">
        <v>95.8</v>
      </c>
      <c r="G38" s="26">
        <v>49.1</v>
      </c>
      <c r="H38" s="26">
        <v>123.4</v>
      </c>
      <c r="I38" s="26">
        <v>30</v>
      </c>
      <c r="J38" s="26">
        <v>67</v>
      </c>
      <c r="K38" s="26">
        <v>36</v>
      </c>
      <c r="L38" s="309">
        <v>0</v>
      </c>
      <c r="M38" s="309">
        <v>0</v>
      </c>
      <c r="N38" s="309">
        <v>0</v>
      </c>
      <c r="O38" s="309">
        <v>0</v>
      </c>
      <c r="P38" s="309">
        <v>0</v>
      </c>
      <c r="Q38" s="309">
        <v>0</v>
      </c>
      <c r="R38" s="309">
        <v>0</v>
      </c>
      <c r="S38" s="309">
        <v>0</v>
      </c>
      <c r="T38" s="5"/>
    </row>
    <row r="39" spans="1:20" x14ac:dyDescent="0.2">
      <c r="A39" s="27" t="s">
        <v>96</v>
      </c>
      <c r="B39" s="61">
        <v>-130.4</v>
      </c>
      <c r="C39" s="26">
        <v>-114.5</v>
      </c>
      <c r="D39" s="26">
        <v>-152</v>
      </c>
      <c r="E39" s="26">
        <v>-134.30000000000001</v>
      </c>
      <c r="F39" s="26">
        <v>-89.4</v>
      </c>
      <c r="G39" s="26">
        <v>-44.7</v>
      </c>
      <c r="H39" s="26">
        <v>-84.9</v>
      </c>
      <c r="I39" s="26">
        <v>-25</v>
      </c>
      <c r="J39" s="26">
        <v>-52</v>
      </c>
      <c r="K39" s="26">
        <v>-21</v>
      </c>
      <c r="L39" s="309">
        <v>0</v>
      </c>
      <c r="M39" s="309">
        <v>0</v>
      </c>
      <c r="N39" s="309">
        <v>0</v>
      </c>
      <c r="O39" s="309">
        <v>0</v>
      </c>
      <c r="P39" s="309">
        <v>0</v>
      </c>
      <c r="Q39" s="309">
        <v>0</v>
      </c>
      <c r="R39" s="309">
        <v>0</v>
      </c>
      <c r="S39" s="309">
        <v>0</v>
      </c>
      <c r="T39" s="5"/>
    </row>
    <row r="40" spans="1:20" x14ac:dyDescent="0.2">
      <c r="A40" s="27" t="s">
        <v>97</v>
      </c>
      <c r="B40" s="61">
        <v>10.3</v>
      </c>
      <c r="C40" s="26">
        <v>14.9</v>
      </c>
      <c r="D40" s="26">
        <f>17.1+189.9</f>
        <v>207</v>
      </c>
      <c r="E40" s="26">
        <v>10</v>
      </c>
      <c r="F40" s="26">
        <v>-22.8</v>
      </c>
      <c r="G40" s="26">
        <v>-6.6</v>
      </c>
      <c r="H40" s="26">
        <v>-14.9</v>
      </c>
      <c r="I40" s="26">
        <v>8</v>
      </c>
      <c r="J40" s="26">
        <v>6</v>
      </c>
      <c r="K40" s="26">
        <v>5</v>
      </c>
      <c r="L40" s="309">
        <v>-6</v>
      </c>
      <c r="M40" s="309">
        <v>-23</v>
      </c>
      <c r="N40" s="309">
        <v>4</v>
      </c>
      <c r="O40" s="309">
        <v>16</v>
      </c>
      <c r="P40" s="309">
        <v>-13</v>
      </c>
      <c r="Q40" s="309">
        <v>-2</v>
      </c>
      <c r="R40" s="309">
        <v>34</v>
      </c>
      <c r="S40" s="309">
        <v>20</v>
      </c>
      <c r="T40" s="5"/>
    </row>
    <row r="41" spans="1:20" ht="7.5" customHeight="1" x14ac:dyDescent="0.2">
      <c r="A41" s="27"/>
      <c r="B41" s="61"/>
      <c r="C41" s="26"/>
      <c r="D41" s="26"/>
      <c r="E41" s="26"/>
      <c r="F41" s="26"/>
      <c r="G41" s="26"/>
      <c r="H41" s="26"/>
      <c r="I41" s="26"/>
      <c r="J41" s="26"/>
      <c r="K41" s="26"/>
      <c r="L41" s="309"/>
      <c r="M41" s="309"/>
      <c r="N41" s="309"/>
      <c r="O41" s="309"/>
      <c r="P41" s="309"/>
      <c r="Q41" s="309"/>
      <c r="R41" s="309"/>
      <c r="S41" s="309"/>
      <c r="T41" s="5"/>
    </row>
    <row r="42" spans="1:20" x14ac:dyDescent="0.2">
      <c r="A42" s="211" t="s">
        <v>98</v>
      </c>
      <c r="B42" s="212">
        <v>-353.7</v>
      </c>
      <c r="C42" s="213">
        <v>231.8</v>
      </c>
      <c r="D42" s="213">
        <v>-568.4</v>
      </c>
      <c r="E42" s="213">
        <v>-525.1</v>
      </c>
      <c r="F42" s="213">
        <v>-703.5</v>
      </c>
      <c r="G42" s="213">
        <v>-846.7</v>
      </c>
      <c r="H42" s="213">
        <f t="shared" ref="H42:P42" si="6">SUM(H33:H41)</f>
        <v>-1024.1000000000001</v>
      </c>
      <c r="I42" s="213">
        <f t="shared" si="6"/>
        <v>-1497</v>
      </c>
      <c r="J42" s="213">
        <f t="shared" si="6"/>
        <v>-2076</v>
      </c>
      <c r="K42" s="213">
        <f t="shared" si="6"/>
        <v>-2308</v>
      </c>
      <c r="L42" s="311">
        <f t="shared" si="6"/>
        <v>-1613</v>
      </c>
      <c r="M42" s="311">
        <f>SUM(M33:M41)</f>
        <v>-1529</v>
      </c>
      <c r="N42" s="311">
        <f>SUM(N33:N41)</f>
        <v>-1342</v>
      </c>
      <c r="O42" s="311">
        <f>SUM(O33:O41)</f>
        <v>-1049</v>
      </c>
      <c r="P42" s="311">
        <f t="shared" si="6"/>
        <v>-1079</v>
      </c>
      <c r="Q42" s="311">
        <f>SUM(Q33:Q41)</f>
        <v>-918</v>
      </c>
      <c r="R42" s="311">
        <f>SUM(R33:R41)</f>
        <v>-869</v>
      </c>
      <c r="S42" s="311">
        <f>SUM(S33:S41)</f>
        <v>-158</v>
      </c>
      <c r="T42" s="182">
        <f>RATE(($R$9-$L$9),,-L42,R42)</f>
        <v>-9.7949396281707693E-2</v>
      </c>
    </row>
    <row r="43" spans="1:20" x14ac:dyDescent="0.2">
      <c r="A43" s="27"/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309"/>
      <c r="M43" s="309"/>
      <c r="N43" s="309"/>
      <c r="O43" s="309"/>
      <c r="P43" s="309"/>
      <c r="Q43" s="309"/>
      <c r="R43" s="309"/>
      <c r="S43" s="309"/>
      <c r="T43" s="5"/>
    </row>
    <row r="44" spans="1:20" x14ac:dyDescent="0.2">
      <c r="A44" s="210" t="s">
        <v>99</v>
      </c>
      <c r="B44" s="61"/>
      <c r="C44" s="26"/>
      <c r="D44" s="26"/>
      <c r="E44" s="26"/>
      <c r="F44" s="26"/>
      <c r="G44" s="26"/>
      <c r="H44" s="26"/>
      <c r="I44" s="26"/>
      <c r="J44" s="26"/>
      <c r="K44" s="26"/>
      <c r="L44" s="309"/>
      <c r="M44" s="309"/>
      <c r="N44" s="309"/>
      <c r="O44" s="309"/>
      <c r="P44" s="309"/>
      <c r="Q44" s="309"/>
      <c r="R44" s="309"/>
      <c r="S44" s="309"/>
      <c r="T44" s="5"/>
    </row>
    <row r="45" spans="1:20" x14ac:dyDescent="0.2">
      <c r="A45" s="27" t="s">
        <v>100</v>
      </c>
      <c r="B45" s="61">
        <v>-88.1</v>
      </c>
      <c r="C45" s="26">
        <v>131.5</v>
      </c>
      <c r="D45" s="26">
        <v>-64</v>
      </c>
      <c r="E45" s="26">
        <v>-152.5</v>
      </c>
      <c r="F45" s="26">
        <v>99.9</v>
      </c>
      <c r="G45" s="26">
        <v>343.9</v>
      </c>
      <c r="H45" s="26">
        <v>-284.39999999999998</v>
      </c>
      <c r="I45" s="26">
        <v>-397</v>
      </c>
      <c r="J45" s="26">
        <v>85</v>
      </c>
      <c r="K45" s="26">
        <v>-85</v>
      </c>
      <c r="L45" s="309">
        <v>36</v>
      </c>
      <c r="M45" s="309">
        <v>652</v>
      </c>
      <c r="N45" s="309">
        <v>-688</v>
      </c>
      <c r="O45" s="309">
        <v>0</v>
      </c>
      <c r="P45" s="309">
        <v>20</v>
      </c>
      <c r="Q45" s="309">
        <v>0</v>
      </c>
      <c r="R45" s="309">
        <v>250</v>
      </c>
      <c r="S45" s="309">
        <v>-262</v>
      </c>
      <c r="T45" s="5">
        <f t="shared" ref="T45:T53" si="7">RATE(($R$9-$M$9),,-M45,R45)</f>
        <v>-0.17445931273144261</v>
      </c>
    </row>
    <row r="46" spans="1:20" x14ac:dyDescent="0.2">
      <c r="A46" s="27" t="s">
        <v>101</v>
      </c>
      <c r="B46" s="61">
        <v>1812</v>
      </c>
      <c r="C46" s="26">
        <v>1114</v>
      </c>
      <c r="D46" s="26">
        <v>791.1</v>
      </c>
      <c r="E46" s="26">
        <v>0</v>
      </c>
      <c r="F46" s="26">
        <v>0</v>
      </c>
      <c r="G46" s="26">
        <v>395.2</v>
      </c>
      <c r="H46" s="26">
        <v>296</v>
      </c>
      <c r="I46" s="26">
        <v>1193</v>
      </c>
      <c r="J46" s="26">
        <f>797+216</f>
        <v>1013</v>
      </c>
      <c r="K46" s="26">
        <v>992</v>
      </c>
      <c r="L46" s="309">
        <v>0</v>
      </c>
      <c r="M46" s="309">
        <v>399</v>
      </c>
      <c r="N46" s="309">
        <v>749</v>
      </c>
      <c r="O46" s="309">
        <v>297</v>
      </c>
      <c r="P46" s="309">
        <v>422</v>
      </c>
      <c r="Q46" s="309">
        <v>248</v>
      </c>
      <c r="R46" s="309">
        <v>0</v>
      </c>
      <c r="S46" s="309">
        <v>0</v>
      </c>
      <c r="T46" s="5">
        <f t="shared" si="7"/>
        <v>-0.99999940914518248</v>
      </c>
    </row>
    <row r="47" spans="1:20" x14ac:dyDescent="0.2">
      <c r="A47" s="46" t="s">
        <v>142</v>
      </c>
      <c r="B47" s="26">
        <v>0</v>
      </c>
      <c r="C47" s="26">
        <v>0</v>
      </c>
      <c r="D47" s="26">
        <v>0</v>
      </c>
      <c r="E47" s="26">
        <v>150</v>
      </c>
      <c r="F47" s="26">
        <v>0</v>
      </c>
      <c r="G47" s="26">
        <v>0</v>
      </c>
      <c r="H47" s="26">
        <v>484.7</v>
      </c>
      <c r="I47" s="26">
        <v>200</v>
      </c>
      <c r="J47" s="26">
        <v>450</v>
      </c>
      <c r="K47" s="26">
        <v>125</v>
      </c>
      <c r="L47" s="309">
        <v>100</v>
      </c>
      <c r="M47" s="309">
        <v>0</v>
      </c>
      <c r="N47" s="309">
        <v>0</v>
      </c>
      <c r="O47" s="309">
        <v>0</v>
      </c>
      <c r="P47" s="309">
        <v>0</v>
      </c>
      <c r="Q47" s="309">
        <v>0</v>
      </c>
      <c r="R47" s="309">
        <v>0</v>
      </c>
      <c r="S47" s="309">
        <v>0</v>
      </c>
      <c r="T47" s="5"/>
    </row>
    <row r="48" spans="1:20" x14ac:dyDescent="0.2">
      <c r="A48" s="264" t="s">
        <v>205</v>
      </c>
      <c r="B48" s="61">
        <v>-269.5</v>
      </c>
      <c r="C48" s="26">
        <v>-347.7</v>
      </c>
      <c r="D48" s="26">
        <v>-310.3</v>
      </c>
      <c r="E48" s="26">
        <v>-7.3</v>
      </c>
      <c r="F48" s="26">
        <v>-165.1</v>
      </c>
      <c r="G48" s="26">
        <v>-195.4</v>
      </c>
      <c r="H48" s="26">
        <v>-177.1</v>
      </c>
      <c r="I48" s="26">
        <v>-2</v>
      </c>
      <c r="J48" s="26">
        <v>-2</v>
      </c>
      <c r="K48" s="26">
        <v>-2</v>
      </c>
      <c r="L48" s="309">
        <v>-2</v>
      </c>
      <c r="M48" s="309">
        <v>-2</v>
      </c>
      <c r="N48" s="309">
        <v>-2</v>
      </c>
      <c r="O48" s="309">
        <v>-2</v>
      </c>
      <c r="P48" s="309">
        <v>0</v>
      </c>
      <c r="Q48" s="309">
        <v>0</v>
      </c>
      <c r="R48" s="309">
        <v>0</v>
      </c>
      <c r="S48" s="309">
        <v>0</v>
      </c>
      <c r="T48" s="5">
        <f t="shared" si="7"/>
        <v>-0.99999940981024027</v>
      </c>
    </row>
    <row r="49" spans="1:21" x14ac:dyDescent="0.2">
      <c r="A49" s="27" t="s">
        <v>203</v>
      </c>
      <c r="B49" s="61"/>
      <c r="C49" s="26"/>
      <c r="D49" s="26"/>
      <c r="E49" s="26"/>
      <c r="F49" s="26"/>
      <c r="G49" s="26"/>
      <c r="H49" s="26">
        <v>0</v>
      </c>
      <c r="I49" s="26">
        <v>0</v>
      </c>
      <c r="J49" s="26">
        <v>0</v>
      </c>
      <c r="K49" s="26">
        <v>0</v>
      </c>
      <c r="L49" s="309">
        <v>0</v>
      </c>
      <c r="M49" s="309">
        <v>-550</v>
      </c>
      <c r="N49" s="309">
        <v>-200</v>
      </c>
      <c r="O49" s="309">
        <v>-500</v>
      </c>
      <c r="P49" s="309">
        <v>-725</v>
      </c>
      <c r="Q49" s="309">
        <v>-950</v>
      </c>
      <c r="R49" s="309">
        <v>-875</v>
      </c>
      <c r="S49" s="309">
        <v>-100</v>
      </c>
      <c r="T49" s="5">
        <f t="shared" si="7"/>
        <v>9.7309332150377681E-2</v>
      </c>
    </row>
    <row r="50" spans="1:21" x14ac:dyDescent="0.2">
      <c r="A50" s="27" t="s">
        <v>104</v>
      </c>
      <c r="B50" s="64">
        <v>-2099</v>
      </c>
      <c r="C50" s="26">
        <v>-1787</v>
      </c>
      <c r="D50" s="26">
        <v>-59</v>
      </c>
      <c r="E50" s="26">
        <v>-144.6</v>
      </c>
      <c r="F50" s="26">
        <v>-194.1</v>
      </c>
      <c r="G50" s="26">
        <v>-259.8</v>
      </c>
      <c r="H50" s="26">
        <v>-269.7</v>
      </c>
      <c r="I50" s="26">
        <v>-127</v>
      </c>
      <c r="J50" s="26">
        <v>-413</v>
      </c>
      <c r="K50" s="26">
        <v>-144</v>
      </c>
      <c r="L50" s="309">
        <v>-16</v>
      </c>
      <c r="M50" s="309">
        <v>-588</v>
      </c>
      <c r="N50" s="309">
        <v>-102</v>
      </c>
      <c r="O50" s="309">
        <v>-284</v>
      </c>
      <c r="P50" s="309">
        <v>-238</v>
      </c>
      <c r="Q50" s="309">
        <v>-124</v>
      </c>
      <c r="R50" s="309">
        <v>-68</v>
      </c>
      <c r="S50" s="309">
        <v>-51</v>
      </c>
      <c r="T50" s="5">
        <f t="shared" si="7"/>
        <v>-0.35042946415472809</v>
      </c>
    </row>
    <row r="51" spans="1:21" hidden="1" x14ac:dyDescent="0.2">
      <c r="A51" s="27" t="s">
        <v>105</v>
      </c>
      <c r="B51" s="26">
        <v>0</v>
      </c>
      <c r="C51" s="26">
        <v>0</v>
      </c>
      <c r="D51" s="26">
        <v>0</v>
      </c>
      <c r="E51" s="26">
        <v>0</v>
      </c>
      <c r="F51" s="26">
        <v>-352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309">
        <v>0</v>
      </c>
      <c r="M51" s="309">
        <v>0</v>
      </c>
      <c r="N51" s="309">
        <v>0</v>
      </c>
      <c r="O51" s="309">
        <v>0</v>
      </c>
      <c r="P51" s="309">
        <v>0</v>
      </c>
      <c r="Q51" s="309">
        <v>0</v>
      </c>
      <c r="R51" s="309"/>
      <c r="S51" s="309">
        <v>0</v>
      </c>
      <c r="T51" s="5" t="e">
        <f t="shared" si="7"/>
        <v>#NUM!</v>
      </c>
    </row>
    <row r="52" spans="1:21" x14ac:dyDescent="0.2">
      <c r="A52" s="27" t="s">
        <v>106</v>
      </c>
      <c r="B52" s="61">
        <v>-26.1</v>
      </c>
      <c r="C52" s="26">
        <v>0</v>
      </c>
      <c r="D52" s="26">
        <v>0</v>
      </c>
      <c r="E52" s="26">
        <v>-7.5</v>
      </c>
      <c r="F52" s="26">
        <v>-7.5</v>
      </c>
      <c r="G52" s="26">
        <v>-7.5</v>
      </c>
      <c r="H52" s="26">
        <v>-7.5</v>
      </c>
      <c r="I52" s="26">
        <v>-38</v>
      </c>
      <c r="J52" s="26">
        <v>0</v>
      </c>
      <c r="K52" s="26">
        <v>0</v>
      </c>
      <c r="L52" s="309">
        <v>0</v>
      </c>
      <c r="M52" s="309">
        <v>0</v>
      </c>
      <c r="N52" s="309">
        <v>0</v>
      </c>
      <c r="O52" s="309">
        <v>-40</v>
      </c>
      <c r="P52" s="309">
        <v>0</v>
      </c>
      <c r="Q52" s="309">
        <v>0</v>
      </c>
      <c r="R52" s="309">
        <v>0</v>
      </c>
      <c r="S52" s="309">
        <v>0</v>
      </c>
      <c r="T52" s="5"/>
    </row>
    <row r="53" spans="1:21" x14ac:dyDescent="0.2">
      <c r="A53" s="27" t="s">
        <v>97</v>
      </c>
      <c r="B53" s="61">
        <v>7</v>
      </c>
      <c r="C53" s="26">
        <v>-2.1</v>
      </c>
      <c r="D53" s="26">
        <v>-13.5</v>
      </c>
      <c r="E53" s="26">
        <v>0</v>
      </c>
      <c r="F53" s="26">
        <v>-0.3</v>
      </c>
      <c r="G53" s="26">
        <v>0</v>
      </c>
      <c r="H53" s="26">
        <v>7.8</v>
      </c>
      <c r="I53" s="26">
        <v>13</v>
      </c>
      <c r="J53" s="26">
        <f>-2-216</f>
        <v>-218</v>
      </c>
      <c r="K53" s="26">
        <v>-20</v>
      </c>
      <c r="L53" s="309">
        <f>-1</f>
        <v>-1</v>
      </c>
      <c r="M53" s="309">
        <v>-2</v>
      </c>
      <c r="N53" s="309">
        <v>-9</v>
      </c>
      <c r="O53" s="309">
        <v>-2</v>
      </c>
      <c r="P53" s="309">
        <v>0</v>
      </c>
      <c r="Q53" s="309">
        <v>-1</v>
      </c>
      <c r="R53" s="309">
        <v>-1</v>
      </c>
      <c r="S53" s="309">
        <v>0</v>
      </c>
      <c r="T53" s="5">
        <f t="shared" si="7"/>
        <v>-0.12944943670385869</v>
      </c>
    </row>
    <row r="54" spans="1:21" ht="7.5" customHeight="1" x14ac:dyDescent="0.2">
      <c r="A54" s="27"/>
      <c r="B54" s="61"/>
      <c r="C54" s="26"/>
      <c r="D54" s="26"/>
      <c r="E54" s="26"/>
      <c r="F54" s="26"/>
      <c r="G54" s="26"/>
      <c r="H54" s="26"/>
      <c r="I54" s="26"/>
      <c r="J54" s="26"/>
      <c r="K54" s="26"/>
      <c r="L54" s="309"/>
      <c r="M54" s="309"/>
      <c r="N54" s="309"/>
      <c r="O54" s="309"/>
      <c r="P54" s="309"/>
      <c r="Q54" s="309"/>
      <c r="R54" s="309"/>
      <c r="S54" s="309"/>
      <c r="T54" s="5"/>
    </row>
    <row r="55" spans="1:21" x14ac:dyDescent="0.2">
      <c r="A55" s="211" t="s">
        <v>107</v>
      </c>
      <c r="B55" s="214">
        <v>-663.7</v>
      </c>
      <c r="C55" s="213">
        <v>-891.3</v>
      </c>
      <c r="D55" s="213">
        <v>244.3</v>
      </c>
      <c r="E55" s="213">
        <v>-161.9</v>
      </c>
      <c r="F55" s="213">
        <v>-222.4</v>
      </c>
      <c r="G55" s="213">
        <v>276.39999999999998</v>
      </c>
      <c r="H55" s="213">
        <f t="shared" ref="H55:P55" si="8">SUM(H44:H54)</f>
        <v>49.800000000000054</v>
      </c>
      <c r="I55" s="213">
        <f t="shared" si="8"/>
        <v>842</v>
      </c>
      <c r="J55" s="213">
        <f t="shared" si="8"/>
        <v>915</v>
      </c>
      <c r="K55" s="213">
        <f t="shared" si="8"/>
        <v>866</v>
      </c>
      <c r="L55" s="311">
        <f t="shared" si="8"/>
        <v>117</v>
      </c>
      <c r="M55" s="311">
        <f>SUM(M44:M54)</f>
        <v>-91</v>
      </c>
      <c r="N55" s="311">
        <f>SUM(N44:N54)</f>
        <v>-252</v>
      </c>
      <c r="O55" s="311">
        <f>SUM(O44:O54)</f>
        <v>-531</v>
      </c>
      <c r="P55" s="311">
        <f t="shared" si="8"/>
        <v>-521</v>
      </c>
      <c r="Q55" s="311">
        <f>SUM(Q44:Q54)</f>
        <v>-827</v>
      </c>
      <c r="R55" s="311">
        <f>SUM(R44:R54)</f>
        <v>-694</v>
      </c>
      <c r="S55" s="311">
        <f>SUM(S44:S54)</f>
        <v>-413</v>
      </c>
      <c r="T55" s="182">
        <f>RATE(($R$9-$M$9),,-M55,R55)</f>
        <v>0.50128662552114756</v>
      </c>
    </row>
    <row r="56" spans="1:21" x14ac:dyDescent="0.2">
      <c r="A56" s="211" t="s">
        <v>108</v>
      </c>
      <c r="B56" s="212">
        <v>-262</v>
      </c>
      <c r="C56" s="213">
        <v>-14.800000000000182</v>
      </c>
      <c r="D56" s="213">
        <v>18.500000000000057</v>
      </c>
      <c r="E56" s="213">
        <v>-5.4000000000001194</v>
      </c>
      <c r="F56" s="213">
        <v>-94.000000000000284</v>
      </c>
      <c r="G56" s="213">
        <v>140.80000000000001</v>
      </c>
      <c r="H56" s="213">
        <v>-79.7</v>
      </c>
      <c r="I56" s="213">
        <f>I31+I42+I55</f>
        <v>169</v>
      </c>
      <c r="J56" s="213">
        <f>J31+J42+J55</f>
        <v>-169</v>
      </c>
      <c r="K56" s="213">
        <f>K31+K42+K55</f>
        <v>58</v>
      </c>
      <c r="L56" s="311">
        <f t="shared" ref="L56:R56" si="9">L58-L57</f>
        <v>-86</v>
      </c>
      <c r="M56" s="311">
        <f t="shared" si="9"/>
        <v>16</v>
      </c>
      <c r="N56" s="311">
        <f t="shared" si="9"/>
        <v>33</v>
      </c>
      <c r="O56" s="311">
        <f t="shared" si="9"/>
        <v>-27</v>
      </c>
      <c r="P56" s="311">
        <f t="shared" si="9"/>
        <v>-30</v>
      </c>
      <c r="Q56" s="311">
        <f t="shared" ref="Q56" si="10">Q58-Q57</f>
        <v>-11</v>
      </c>
      <c r="R56" s="311">
        <f t="shared" si="9"/>
        <v>5</v>
      </c>
      <c r="S56" s="311">
        <f>S58-S57</f>
        <v>-2</v>
      </c>
      <c r="T56" s="182"/>
      <c r="U56" s="217"/>
    </row>
    <row r="57" spans="1:21" x14ac:dyDescent="0.2">
      <c r="A57" s="30" t="s">
        <v>109</v>
      </c>
      <c r="B57" s="65">
        <v>416.2</v>
      </c>
      <c r="C57" s="31">
        <v>154.19999999999999</v>
      </c>
      <c r="D57" s="31">
        <v>139.4</v>
      </c>
      <c r="E57" s="31">
        <v>157.9</v>
      </c>
      <c r="F57" s="31">
        <v>152.5</v>
      </c>
      <c r="G57" s="31">
        <v>58.499999999999602</v>
      </c>
      <c r="H57" s="31">
        <f>G58</f>
        <v>199.3</v>
      </c>
      <c r="I57" s="31">
        <v>59</v>
      </c>
      <c r="J57" s="31">
        <v>228</v>
      </c>
      <c r="K57" s="31">
        <v>59</v>
      </c>
      <c r="L57" s="312">
        <f>Historical!K13:K13</f>
        <v>117</v>
      </c>
      <c r="M57" s="312">
        <f>Historical!L13:L13</f>
        <v>31</v>
      </c>
      <c r="N57" s="312">
        <f t="shared" ref="N57:S57" si="11">M58</f>
        <v>47</v>
      </c>
      <c r="O57" s="312">
        <f t="shared" si="11"/>
        <v>80</v>
      </c>
      <c r="P57" s="312">
        <f t="shared" si="11"/>
        <v>53</v>
      </c>
      <c r="Q57" s="312">
        <f t="shared" si="11"/>
        <v>23</v>
      </c>
      <c r="R57" s="312">
        <f t="shared" si="11"/>
        <v>12</v>
      </c>
      <c r="S57" s="312">
        <f t="shared" si="11"/>
        <v>17</v>
      </c>
      <c r="T57" s="97">
        <f>RATE(($R$9-$M$9),,-M57,R57)</f>
        <v>-0.17288878333141869</v>
      </c>
    </row>
    <row r="58" spans="1:21" x14ac:dyDescent="0.2">
      <c r="A58" s="30" t="s">
        <v>110</v>
      </c>
      <c r="B58" s="66">
        <f>B56+B57</f>
        <v>154.19999999999999</v>
      </c>
      <c r="C58" s="31">
        <v>139.4</v>
      </c>
      <c r="D58" s="31">
        <v>157.9</v>
      </c>
      <c r="E58" s="31">
        <v>152.5</v>
      </c>
      <c r="F58" s="31">
        <v>58.499999999999602</v>
      </c>
      <c r="G58" s="31">
        <v>199.3</v>
      </c>
      <c r="H58" s="31">
        <f>H56+H57</f>
        <v>119.60000000000001</v>
      </c>
      <c r="I58" s="31">
        <f>I56+I57</f>
        <v>228</v>
      </c>
      <c r="J58" s="31">
        <f>J56+J57</f>
        <v>59</v>
      </c>
      <c r="K58" s="31">
        <f>K56+K57</f>
        <v>117</v>
      </c>
      <c r="L58" s="312">
        <f>Historical!L13</f>
        <v>31</v>
      </c>
      <c r="M58" s="312">
        <f>Historical!M13</f>
        <v>47</v>
      </c>
      <c r="N58" s="312">
        <f>Historical!N13</f>
        <v>80</v>
      </c>
      <c r="O58" s="312">
        <f>Historical!O13</f>
        <v>53</v>
      </c>
      <c r="P58" s="312">
        <f>Historical!P13</f>
        <v>23</v>
      </c>
      <c r="Q58" s="312">
        <f>Historical!Q13</f>
        <v>12</v>
      </c>
      <c r="R58" s="312">
        <f>Historical!R13</f>
        <v>17</v>
      </c>
      <c r="S58" s="312">
        <f>Historical!S13</f>
        <v>15</v>
      </c>
      <c r="T58" s="97">
        <f>RATE(($R$9-$M$9),,-M58,R58)</f>
        <v>-0.18403747598979847</v>
      </c>
    </row>
    <row r="59" spans="1:21" x14ac:dyDescent="0.2">
      <c r="B59" s="67"/>
      <c r="C59" s="68"/>
      <c r="D59" s="67"/>
      <c r="E59" s="67"/>
      <c r="F59" s="67"/>
      <c r="G59" s="67"/>
      <c r="H59" s="67"/>
      <c r="I59" s="67"/>
      <c r="J59" s="67"/>
      <c r="K59" s="67"/>
      <c r="L59" s="313"/>
      <c r="M59" s="313"/>
      <c r="N59" s="313"/>
      <c r="O59" s="313"/>
      <c r="P59" s="313"/>
      <c r="Q59" s="313"/>
      <c r="R59" s="313"/>
      <c r="S59" s="313"/>
      <c r="T59" s="248"/>
    </row>
    <row r="61" spans="1:21" x14ac:dyDescent="0.2">
      <c r="T61" s="53" t="s">
        <v>113</v>
      </c>
    </row>
    <row r="62" spans="1:21" x14ac:dyDescent="0.2">
      <c r="T62" s="54" t="s">
        <v>115</v>
      </c>
    </row>
    <row r="63" spans="1:21" ht="18.75" x14ac:dyDescent="0.3">
      <c r="A63" s="48" t="str">
        <f>A3</f>
        <v>PacifiCorp</v>
      </c>
      <c r="B63" s="49"/>
      <c r="C63" s="49"/>
      <c r="D63" s="49"/>
      <c r="E63" s="49"/>
      <c r="F63" s="49"/>
      <c r="G63" s="47"/>
      <c r="H63" s="47"/>
      <c r="I63" s="47"/>
      <c r="J63" s="47"/>
      <c r="K63" s="47"/>
      <c r="L63" s="300"/>
      <c r="M63" s="300"/>
      <c r="N63" s="300"/>
      <c r="O63" s="300"/>
      <c r="P63" s="300"/>
      <c r="Q63" s="300"/>
      <c r="R63" s="300"/>
      <c r="S63" s="300"/>
      <c r="T63" s="39"/>
    </row>
    <row r="64" spans="1:21" s="37" customFormat="1" ht="15.75" x14ac:dyDescent="0.25">
      <c r="A64" s="50" t="s">
        <v>112</v>
      </c>
      <c r="B64" s="42"/>
      <c r="C64" s="42"/>
      <c r="D64" s="42"/>
      <c r="E64" s="42"/>
      <c r="F64" s="42"/>
      <c r="G64" s="42"/>
      <c r="H64" s="56"/>
      <c r="I64" s="56"/>
      <c r="J64" s="56"/>
      <c r="K64" s="56"/>
      <c r="L64" s="301"/>
      <c r="M64" s="301"/>
      <c r="N64" s="301"/>
      <c r="O64" s="301"/>
      <c r="P64" s="301"/>
      <c r="Q64" s="301"/>
      <c r="R64" s="301"/>
      <c r="S64" s="301"/>
      <c r="T64" s="56"/>
    </row>
    <row r="65" spans="1:27" s="37" customFormat="1" ht="15.75" x14ac:dyDescent="0.25">
      <c r="A65" s="51" t="str">
        <f>A5</f>
        <v>Fiscal Years Ended December 31, 2011-2016; Three Months Ended March 31, 2017</v>
      </c>
      <c r="B65" s="42"/>
      <c r="C65" s="42"/>
      <c r="D65" s="42"/>
      <c r="E65" s="42"/>
      <c r="F65" s="42"/>
      <c r="G65" s="42"/>
      <c r="H65" s="56"/>
      <c r="I65" s="56"/>
      <c r="J65" s="56"/>
      <c r="K65" s="56"/>
      <c r="L65" s="301"/>
      <c r="M65" s="301"/>
      <c r="N65" s="301"/>
      <c r="O65" s="301"/>
      <c r="P65" s="301"/>
      <c r="Q65" s="301"/>
      <c r="R65" s="301"/>
      <c r="S65" s="301"/>
      <c r="T65" s="56"/>
    </row>
    <row r="66" spans="1:27" s="37" customFormat="1" ht="15.75" x14ac:dyDescent="0.25">
      <c r="A66" s="51" t="str">
        <f>A6</f>
        <v xml:space="preserve">  </v>
      </c>
      <c r="B66" s="42"/>
      <c r="C66" s="42"/>
      <c r="D66" s="42"/>
      <c r="E66" s="42"/>
      <c r="F66" s="42"/>
      <c r="G66" s="42"/>
      <c r="H66" s="56"/>
      <c r="I66" s="56"/>
      <c r="J66" s="56"/>
      <c r="K66" s="56"/>
      <c r="L66" s="301"/>
      <c r="M66" s="301"/>
      <c r="N66" s="301"/>
      <c r="O66" s="301"/>
      <c r="P66" s="301"/>
      <c r="Q66" s="301"/>
      <c r="R66" s="301"/>
      <c r="S66" s="301"/>
      <c r="T66" s="56"/>
    </row>
    <row r="67" spans="1:27" x14ac:dyDescent="0.2">
      <c r="A67" s="44"/>
      <c r="B67" s="215"/>
      <c r="C67" s="215"/>
      <c r="D67" s="215"/>
      <c r="E67" s="215"/>
      <c r="F67" s="215"/>
      <c r="G67" s="215"/>
      <c r="H67" s="173"/>
      <c r="I67" s="216"/>
      <c r="J67" s="216"/>
      <c r="K67" s="216"/>
      <c r="L67" s="302"/>
      <c r="M67" s="302"/>
      <c r="N67" s="302"/>
      <c r="O67" s="302"/>
      <c r="P67" s="302"/>
      <c r="Q67" s="302"/>
      <c r="R67" s="302"/>
      <c r="S67" s="302" t="str">
        <f>S8</f>
        <v>3 Mos.</v>
      </c>
      <c r="T67" s="206" t="str">
        <f>T7</f>
        <v>2011-2016</v>
      </c>
    </row>
    <row r="68" spans="1:27" x14ac:dyDescent="0.2">
      <c r="A68" s="217"/>
      <c r="B68" s="209">
        <f>B9</f>
        <v>2000</v>
      </c>
      <c r="C68" s="209">
        <f t="shared" ref="C68:H68" si="12">C9</f>
        <v>2001</v>
      </c>
      <c r="D68" s="209">
        <f t="shared" si="12"/>
        <v>2002</v>
      </c>
      <c r="E68" s="209">
        <f t="shared" si="12"/>
        <v>2003</v>
      </c>
      <c r="F68" s="209">
        <f t="shared" si="12"/>
        <v>2004</v>
      </c>
      <c r="G68" s="209">
        <f t="shared" si="12"/>
        <v>2005</v>
      </c>
      <c r="H68" s="209">
        <f t="shared" si="12"/>
        <v>2006</v>
      </c>
      <c r="I68" s="176">
        <f t="shared" ref="I68:O68" si="13">I9</f>
        <v>2007</v>
      </c>
      <c r="J68" s="176">
        <f t="shared" si="13"/>
        <v>2008</v>
      </c>
      <c r="K68" s="176">
        <f t="shared" si="13"/>
        <v>2009</v>
      </c>
      <c r="L68" s="282">
        <f t="shared" si="13"/>
        <v>2010</v>
      </c>
      <c r="M68" s="282">
        <f t="shared" si="13"/>
        <v>2011</v>
      </c>
      <c r="N68" s="282">
        <f>N9</f>
        <v>2012</v>
      </c>
      <c r="O68" s="282">
        <f t="shared" si="13"/>
        <v>2013</v>
      </c>
      <c r="P68" s="282">
        <f>P9</f>
        <v>2014</v>
      </c>
      <c r="Q68" s="282">
        <f>Q9</f>
        <v>2015</v>
      </c>
      <c r="R68" s="282">
        <f>R9</f>
        <v>2016</v>
      </c>
      <c r="S68" s="282" t="str">
        <f>S9</f>
        <v>Mar. 2017</v>
      </c>
      <c r="T68" s="218" t="s">
        <v>38</v>
      </c>
    </row>
    <row r="69" spans="1:27" ht="7.5" customHeight="1" x14ac:dyDescent="0.2">
      <c r="B69" s="34"/>
      <c r="C69" s="35"/>
      <c r="D69" s="35"/>
      <c r="E69" s="35"/>
      <c r="F69" s="35"/>
      <c r="G69" s="35"/>
      <c r="H69" s="12"/>
      <c r="I69" s="12"/>
      <c r="J69" s="12"/>
      <c r="K69" s="12"/>
      <c r="L69" s="299"/>
      <c r="M69" s="299"/>
      <c r="N69" s="299"/>
      <c r="O69" s="299"/>
      <c r="P69" s="299"/>
      <c r="Q69" s="299"/>
      <c r="R69" s="299"/>
      <c r="S69" s="299"/>
    </row>
    <row r="70" spans="1:27" x14ac:dyDescent="0.2">
      <c r="A70" s="36" t="s">
        <v>45</v>
      </c>
      <c r="B70" s="220">
        <f>Historical!B78</f>
        <v>3986.9</v>
      </c>
      <c r="C70" s="220">
        <f>Historical!C78</f>
        <v>5055.7</v>
      </c>
      <c r="D70" s="220">
        <f>Historical!D78</f>
        <v>3353.7</v>
      </c>
      <c r="E70" s="220">
        <f>Historical!E78</f>
        <v>3082.4</v>
      </c>
      <c r="F70" s="220">
        <f>Historical!F78</f>
        <v>3194.5</v>
      </c>
      <c r="G70" s="220">
        <f>Historical!G78</f>
        <v>3048.8</v>
      </c>
      <c r="H70" s="220">
        <f>Historical!H78</f>
        <v>3896.7</v>
      </c>
      <c r="I70" s="220">
        <f>Historical!I78</f>
        <v>4258</v>
      </c>
      <c r="J70" s="220">
        <f>Historical!J78</f>
        <v>4498</v>
      </c>
      <c r="K70" s="220">
        <f>Historical!K78</f>
        <v>4457</v>
      </c>
      <c r="L70" s="314">
        <f>Historical!L78</f>
        <v>4432</v>
      </c>
      <c r="M70" s="314">
        <f>Historical!M78</f>
        <v>4586</v>
      </c>
      <c r="N70" s="314">
        <f>Historical!N78</f>
        <v>4882</v>
      </c>
      <c r="O70" s="314">
        <f>Historical!O78</f>
        <v>5147</v>
      </c>
      <c r="P70" s="314">
        <f>Historical!P78</f>
        <v>5252</v>
      </c>
      <c r="Q70" s="314">
        <f>Historical!Q78</f>
        <v>5232</v>
      </c>
      <c r="R70" s="314">
        <f>Historical!R78</f>
        <v>5201</v>
      </c>
      <c r="S70" s="314">
        <f>Historical!S78</f>
        <v>1281</v>
      </c>
      <c r="T70" s="228">
        <f>SUM(M70:R70)/SUM($M$70:$R$70)</f>
        <v>1</v>
      </c>
      <c r="U70" s="37"/>
      <c r="V70" s="37"/>
      <c r="W70" s="37"/>
      <c r="X70" s="37"/>
      <c r="Y70" s="37"/>
      <c r="Z70" s="37"/>
      <c r="AA70" s="37"/>
    </row>
    <row r="71" spans="1:27" ht="7.5" customHeight="1" x14ac:dyDescent="0.2">
      <c r="A71" s="36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03"/>
      <c r="M71" s="303"/>
      <c r="N71" s="303"/>
      <c r="O71" s="303"/>
      <c r="P71" s="303"/>
      <c r="Q71" s="303"/>
      <c r="R71" s="303"/>
      <c r="S71" s="303"/>
      <c r="T71" s="37"/>
      <c r="U71" s="37"/>
      <c r="V71" s="37"/>
      <c r="W71" s="37"/>
      <c r="X71" s="37"/>
      <c r="Y71" s="37"/>
      <c r="Z71" s="37"/>
      <c r="AA71" s="37"/>
    </row>
    <row r="72" spans="1:27" x14ac:dyDescent="0.2">
      <c r="A72" s="210" t="s">
        <v>71</v>
      </c>
      <c r="B72" s="37"/>
      <c r="C72" s="37"/>
      <c r="D72" s="37"/>
      <c r="E72" s="37"/>
      <c r="F72" s="38"/>
      <c r="G72" s="37"/>
      <c r="H72" s="37"/>
      <c r="I72" s="37"/>
      <c r="J72" s="37"/>
      <c r="K72" s="37"/>
      <c r="L72" s="58"/>
      <c r="M72" s="58"/>
      <c r="N72" s="58"/>
      <c r="O72" s="58"/>
      <c r="P72" s="58"/>
      <c r="Q72" s="58"/>
      <c r="R72" s="58"/>
      <c r="S72" s="58"/>
      <c r="T72" s="37"/>
      <c r="U72" s="37"/>
      <c r="V72" s="37"/>
      <c r="W72" s="37"/>
      <c r="X72" s="37"/>
      <c r="Y72" s="37"/>
      <c r="Z72" s="37"/>
      <c r="AA72" s="37"/>
    </row>
    <row r="73" spans="1:27" x14ac:dyDescent="0.2">
      <c r="A73" s="27" t="s">
        <v>72</v>
      </c>
      <c r="B73" s="57">
        <f t="shared" ref="B73:L73" si="14">(B12/B$70)</f>
        <v>2.0993754546138593E-2</v>
      </c>
      <c r="C73" s="57">
        <f t="shared" si="14"/>
        <v>-1.744565539885674E-2</v>
      </c>
      <c r="D73" s="57">
        <f t="shared" si="14"/>
        <v>9.759370247786027E-2</v>
      </c>
      <c r="E73" s="57">
        <f t="shared" si="14"/>
        <v>4.5451596158837149E-2</v>
      </c>
      <c r="F73" s="57">
        <f t="shared" si="14"/>
        <v>7.7664736265456155E-2</v>
      </c>
      <c r="G73" s="57">
        <f t="shared" si="14"/>
        <v>8.2557071634741588E-2</v>
      </c>
      <c r="H73" s="57">
        <f t="shared" si="14"/>
        <v>9.2565504144532448E-2</v>
      </c>
      <c r="I73" s="57">
        <f t="shared" si="14"/>
        <v>0.1045091592296853</v>
      </c>
      <c r="J73" s="57">
        <f t="shared" si="14"/>
        <v>0.10337927967985772</v>
      </c>
      <c r="K73" s="57">
        <f t="shared" si="14"/>
        <v>0.12340139107022662</v>
      </c>
      <c r="L73" s="315">
        <f t="shared" si="14"/>
        <v>0.12770758122743683</v>
      </c>
      <c r="M73" s="315">
        <f t="shared" ref="M73:S73" si="15">(M12/M$70)</f>
        <v>0.12102049716528565</v>
      </c>
      <c r="N73" s="315">
        <f t="shared" si="15"/>
        <v>0.10999590331831216</v>
      </c>
      <c r="O73" s="315">
        <f t="shared" si="15"/>
        <v>0.1325043714785312</v>
      </c>
      <c r="P73" s="315">
        <f t="shared" si="15"/>
        <v>0.13290175171363292</v>
      </c>
      <c r="Q73" s="315">
        <f t="shared" ref="Q73" si="16">(Q12/Q$70)</f>
        <v>0.13283639143730888</v>
      </c>
      <c r="R73" s="315">
        <f t="shared" si="15"/>
        <v>0.14670255720053835</v>
      </c>
      <c r="S73" s="315">
        <f t="shared" si="15"/>
        <v>0.13973458235753317</v>
      </c>
      <c r="T73" s="273">
        <f>SUM(M12:R12)/SUM($M$70:$R$70)</f>
        <v>0.12970297029702971</v>
      </c>
      <c r="U73" s="37"/>
      <c r="V73" s="37"/>
      <c r="W73" s="37"/>
      <c r="X73" s="37"/>
      <c r="Y73" s="37"/>
      <c r="Z73" s="37"/>
      <c r="AA73" s="37"/>
    </row>
    <row r="74" spans="1:27" x14ac:dyDescent="0.2">
      <c r="A74" s="25" t="s">
        <v>73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315"/>
      <c r="M74" s="315"/>
      <c r="N74" s="315"/>
      <c r="O74" s="315"/>
      <c r="P74" s="315"/>
      <c r="Q74" s="315"/>
      <c r="R74" s="315"/>
      <c r="S74" s="315"/>
      <c r="T74" s="273"/>
      <c r="U74" s="37"/>
      <c r="V74" s="37"/>
      <c r="W74" s="37"/>
      <c r="X74" s="37"/>
      <c r="Y74" s="37"/>
      <c r="Z74" s="37"/>
      <c r="AA74" s="37"/>
    </row>
    <row r="75" spans="1:27" x14ac:dyDescent="0.2">
      <c r="A75" s="25" t="s">
        <v>74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315"/>
      <c r="M75" s="315"/>
      <c r="N75" s="315"/>
      <c r="O75" s="315"/>
      <c r="P75" s="315"/>
      <c r="Q75" s="315"/>
      <c r="R75" s="315"/>
      <c r="S75" s="315"/>
      <c r="T75" s="273"/>
      <c r="U75" s="37"/>
      <c r="V75" s="37"/>
      <c r="W75" s="37"/>
      <c r="X75" s="37"/>
      <c r="Y75" s="37"/>
      <c r="Z75" s="37"/>
      <c r="AA75" s="37"/>
    </row>
    <row r="76" spans="1:27" hidden="1" x14ac:dyDescent="0.2">
      <c r="A76" s="29" t="s">
        <v>75</v>
      </c>
      <c r="B76" s="57">
        <f>(B15/B$70)</f>
        <v>-2.7590358423838069E-4</v>
      </c>
      <c r="C76" s="59" t="s">
        <v>76</v>
      </c>
      <c r="D76" s="57">
        <f t="shared" ref="D76:D82" si="17">(D15/D$70)</f>
        <v>-4.3742731908041864E-2</v>
      </c>
      <c r="E76" s="59" t="s">
        <v>76</v>
      </c>
      <c r="F76" s="59" t="s">
        <v>76</v>
      </c>
      <c r="G76" s="59" t="s">
        <v>76</v>
      </c>
      <c r="H76" s="59" t="s">
        <v>76</v>
      </c>
      <c r="I76" s="59" t="s">
        <v>76</v>
      </c>
      <c r="J76" s="59"/>
      <c r="K76" s="59"/>
      <c r="L76" s="316"/>
      <c r="M76" s="316"/>
      <c r="N76" s="316"/>
      <c r="O76" s="316"/>
      <c r="P76" s="316"/>
      <c r="Q76" s="316"/>
      <c r="R76" s="316"/>
      <c r="S76" s="316"/>
      <c r="T76" s="273">
        <f>SUM(L76:R76)/SUM($L$70:$R$70)</f>
        <v>0</v>
      </c>
      <c r="U76" s="37"/>
      <c r="V76" s="37"/>
      <c r="W76" s="37"/>
      <c r="X76" s="37"/>
      <c r="Y76" s="37"/>
      <c r="Z76" s="37"/>
      <c r="AA76" s="37"/>
    </row>
    <row r="77" spans="1:27" hidden="1" x14ac:dyDescent="0.2">
      <c r="A77" s="27" t="s">
        <v>77</v>
      </c>
      <c r="B77" s="59" t="s">
        <v>76</v>
      </c>
      <c r="C77" s="59" t="s">
        <v>76</v>
      </c>
      <c r="D77" s="57">
        <f t="shared" si="17"/>
        <v>3.3634493246265322E-2</v>
      </c>
      <c r="E77" s="57">
        <f t="shared" ref="E77:F80" si="18">(E16/E$70)</f>
        <v>6.16402803010641E-4</v>
      </c>
      <c r="F77" s="57">
        <f t="shared" si="18"/>
        <v>2.8173423070903115E-4</v>
      </c>
      <c r="G77" s="57" t="s">
        <v>76</v>
      </c>
      <c r="H77" s="59" t="s">
        <v>76</v>
      </c>
      <c r="I77" s="59" t="s">
        <v>76</v>
      </c>
      <c r="J77" s="59"/>
      <c r="K77" s="59"/>
      <c r="L77" s="316"/>
      <c r="M77" s="316"/>
      <c r="N77" s="316"/>
      <c r="O77" s="316"/>
      <c r="P77" s="316"/>
      <c r="Q77" s="316"/>
      <c r="R77" s="316"/>
      <c r="S77" s="316"/>
      <c r="T77" s="273">
        <f>SUM(L77:R77)/SUM($L$70:$R$70)</f>
        <v>0</v>
      </c>
      <c r="U77" s="37"/>
      <c r="V77" s="37"/>
      <c r="W77" s="37"/>
      <c r="X77" s="37"/>
      <c r="Y77" s="37"/>
      <c r="Z77" s="37"/>
      <c r="AA77" s="37"/>
    </row>
    <row r="78" spans="1:27" hidden="1" x14ac:dyDescent="0.2">
      <c r="A78" s="27" t="s">
        <v>78</v>
      </c>
      <c r="B78" s="59" t="s">
        <v>76</v>
      </c>
      <c r="C78" s="59" t="s">
        <v>76</v>
      </c>
      <c r="D78" s="57">
        <f t="shared" si="17"/>
        <v>-5.4506962459373233E-2</v>
      </c>
      <c r="E78" s="57">
        <f t="shared" si="18"/>
        <v>-1.0057098364910459E-3</v>
      </c>
      <c r="F78" s="57">
        <f t="shared" si="18"/>
        <v>-1.9095320081389889E-3</v>
      </c>
      <c r="G78" s="57">
        <f t="shared" ref="G78:L80" si="19">(G17/G$70)</f>
        <v>-2.7551823668328524E-3</v>
      </c>
      <c r="H78" s="57">
        <f t="shared" si="19"/>
        <v>-2.2275258552108195E-2</v>
      </c>
      <c r="I78" s="57">
        <f t="shared" si="19"/>
        <v>0</v>
      </c>
      <c r="J78" s="57">
        <f t="shared" si="19"/>
        <v>0</v>
      </c>
      <c r="K78" s="57">
        <f t="shared" si="19"/>
        <v>0</v>
      </c>
      <c r="L78" s="315">
        <f t="shared" si="19"/>
        <v>0</v>
      </c>
      <c r="M78" s="315">
        <f t="shared" ref="M78:S80" si="20">(M17/M$70)</f>
        <v>0</v>
      </c>
      <c r="N78" s="315">
        <f t="shared" si="20"/>
        <v>0</v>
      </c>
      <c r="O78" s="315">
        <f t="shared" si="20"/>
        <v>0</v>
      </c>
      <c r="P78" s="315">
        <f t="shared" si="20"/>
        <v>0</v>
      </c>
      <c r="Q78" s="315">
        <f t="shared" ref="Q78" si="21">(Q17/Q$70)</f>
        <v>0</v>
      </c>
      <c r="R78" s="315">
        <f t="shared" si="20"/>
        <v>0</v>
      </c>
      <c r="S78" s="315">
        <f t="shared" si="20"/>
        <v>0</v>
      </c>
      <c r="T78" s="273">
        <f t="shared" ref="T78" si="22">SUM(L17:R17)/SUM($L$70:$R$70)</f>
        <v>0</v>
      </c>
      <c r="U78" s="37"/>
      <c r="V78" s="37"/>
      <c r="W78" s="37"/>
      <c r="X78" s="37"/>
      <c r="Y78" s="37"/>
      <c r="Z78" s="37"/>
      <c r="AA78" s="37"/>
    </row>
    <row r="79" spans="1:27" x14ac:dyDescent="0.2">
      <c r="A79" s="27" t="s">
        <v>79</v>
      </c>
      <c r="B79" s="57">
        <f t="shared" ref="B79:C81" si="23">(B18/B$70)</f>
        <v>0.11444982317088465</v>
      </c>
      <c r="C79" s="57">
        <f t="shared" si="23"/>
        <v>8.48547184366161E-2</v>
      </c>
      <c r="D79" s="57">
        <f t="shared" si="17"/>
        <v>0.1201657870411784</v>
      </c>
      <c r="E79" s="57">
        <f t="shared" si="18"/>
        <v>0.14089670386711653</v>
      </c>
      <c r="F79" s="57">
        <f t="shared" si="18"/>
        <v>0.13423070903114728</v>
      </c>
      <c r="G79" s="57">
        <f t="shared" si="19"/>
        <v>0.14330228286538965</v>
      </c>
      <c r="H79" s="57">
        <f t="shared" si="19"/>
        <v>0.11504606461878</v>
      </c>
      <c r="I79" s="57">
        <f t="shared" si="19"/>
        <v>0.11672146547674965</v>
      </c>
      <c r="J79" s="57">
        <f t="shared" si="19"/>
        <v>0.10893730546909737</v>
      </c>
      <c r="K79" s="57">
        <f t="shared" si="19"/>
        <v>0.12317702490464438</v>
      </c>
      <c r="L79" s="315">
        <f t="shared" si="19"/>
        <v>0.12657942238267147</v>
      </c>
      <c r="M79" s="315">
        <f t="shared" si="20"/>
        <v>0.13323157435673791</v>
      </c>
      <c r="N79" s="315">
        <f t="shared" si="20"/>
        <v>0.13109381401065137</v>
      </c>
      <c r="O79" s="315">
        <f t="shared" si="20"/>
        <v>0.13114435593549639</v>
      </c>
      <c r="P79" s="315">
        <f t="shared" si="20"/>
        <v>0.13823305407463823</v>
      </c>
      <c r="Q79" s="315">
        <f t="shared" ref="Q79" si="24">(Q18/Q$70)</f>
        <v>0.14468654434250763</v>
      </c>
      <c r="R79" s="315">
        <f t="shared" si="20"/>
        <v>0.1480484522207268</v>
      </c>
      <c r="S79" s="315">
        <f t="shared" si="20"/>
        <v>0.15300546448087432</v>
      </c>
      <c r="T79" s="273">
        <f t="shared" ref="T79:T83" si="25">SUM(M18:R18)/SUM($M$70:$R$70)</f>
        <v>0.13792079207920793</v>
      </c>
      <c r="U79" s="37"/>
      <c r="V79" s="37"/>
      <c r="W79" s="37"/>
      <c r="X79" s="37"/>
      <c r="Y79" s="37"/>
      <c r="Z79" s="37"/>
      <c r="AA79" s="37"/>
    </row>
    <row r="80" spans="1:27" x14ac:dyDescent="0.2">
      <c r="A80" s="27" t="s">
        <v>80</v>
      </c>
      <c r="B80" s="57">
        <f t="shared" si="23"/>
        <v>3.4287290877624214E-2</v>
      </c>
      <c r="C80" s="57">
        <f t="shared" si="23"/>
        <v>-5.2218288268686824E-3</v>
      </c>
      <c r="D80" s="57">
        <f t="shared" si="17"/>
        <v>1.8159048215403883E-2</v>
      </c>
      <c r="E80" s="57">
        <f t="shared" si="18"/>
        <v>1.0316636387230729E-2</v>
      </c>
      <c r="F80" s="57">
        <f t="shared" si="18"/>
        <v>2.5199561746752232E-2</v>
      </c>
      <c r="G80" s="57">
        <f t="shared" si="19"/>
        <v>3.9359748097612175E-2</v>
      </c>
      <c r="H80" s="57">
        <f t="shared" si="19"/>
        <v>3.5671208971694E-3</v>
      </c>
      <c r="I80" s="57">
        <f t="shared" si="19"/>
        <v>9.1592296852982622E-3</v>
      </c>
      <c r="J80" s="57">
        <f t="shared" si="19"/>
        <v>6.8474877723432637E-2</v>
      </c>
      <c r="K80" s="57">
        <f t="shared" si="19"/>
        <v>0.14471617680053847</v>
      </c>
      <c r="L80" s="315">
        <f t="shared" si="19"/>
        <v>0.1601985559566787</v>
      </c>
      <c r="M80" s="315">
        <f t="shared" si="20"/>
        <v>8.1552551242913218E-2</v>
      </c>
      <c r="N80" s="315">
        <f t="shared" si="20"/>
        <v>6.3908234330192548E-2</v>
      </c>
      <c r="O80" s="315">
        <f t="shared" si="20"/>
        <v>4.4686224985428402E-2</v>
      </c>
      <c r="P80" s="315">
        <f t="shared" si="20"/>
        <v>5.6549885757806548E-2</v>
      </c>
      <c r="Q80" s="315">
        <f t="shared" ref="Q80" si="26">(Q19/Q$70)</f>
        <v>3.2874617737003058E-2</v>
      </c>
      <c r="R80" s="315">
        <f t="shared" si="20"/>
        <v>2.672562968659873E-2</v>
      </c>
      <c r="S80" s="315">
        <f t="shared" si="20"/>
        <v>-5.4644808743169399E-3</v>
      </c>
      <c r="T80" s="273">
        <f t="shared" si="25"/>
        <v>5.02970297029703E-2</v>
      </c>
      <c r="U80" s="37"/>
      <c r="V80" s="37"/>
      <c r="W80" s="37"/>
      <c r="X80" s="37"/>
      <c r="Y80" s="37"/>
      <c r="Z80" s="37"/>
      <c r="AA80" s="37"/>
    </row>
    <row r="81" spans="1:27" hidden="1" x14ac:dyDescent="0.2">
      <c r="A81" s="29" t="s">
        <v>81</v>
      </c>
      <c r="B81" s="57">
        <f t="shared" si="23"/>
        <v>-2.5082144021670974E-4</v>
      </c>
      <c r="C81" s="57">
        <f t="shared" si="23"/>
        <v>3.7423106592558895E-2</v>
      </c>
      <c r="D81" s="57">
        <f t="shared" si="17"/>
        <v>-1.5684169722992518E-2</v>
      </c>
      <c r="E81" s="59" t="s">
        <v>76</v>
      </c>
      <c r="F81" s="59" t="s">
        <v>76</v>
      </c>
      <c r="G81" s="59" t="s">
        <v>76</v>
      </c>
      <c r="H81" s="59" t="s">
        <v>76</v>
      </c>
      <c r="I81" s="59" t="s">
        <v>76</v>
      </c>
      <c r="J81" s="59"/>
      <c r="K81" s="59"/>
      <c r="L81" s="316"/>
      <c r="M81" s="316"/>
      <c r="N81" s="316"/>
      <c r="O81" s="316"/>
      <c r="P81" s="316"/>
      <c r="Q81" s="316"/>
      <c r="R81" s="316"/>
      <c r="S81" s="316"/>
      <c r="T81" s="273">
        <f t="shared" si="25"/>
        <v>0</v>
      </c>
      <c r="U81" s="37"/>
      <c r="V81" s="37"/>
      <c r="W81" s="37"/>
      <c r="X81" s="37"/>
      <c r="Y81" s="37"/>
      <c r="Z81" s="37"/>
      <c r="AA81" s="37"/>
    </row>
    <row r="82" spans="1:27" x14ac:dyDescent="0.2">
      <c r="A82" s="27" t="s">
        <v>82</v>
      </c>
      <c r="B82" s="59" t="s">
        <v>76</v>
      </c>
      <c r="C82" s="57">
        <f>(C21/C$70)</f>
        <v>-6.9426587811776816E-3</v>
      </c>
      <c r="D82" s="57">
        <f t="shared" si="17"/>
        <v>-6.2885767957777977E-2</v>
      </c>
      <c r="E82" s="57">
        <f t="shared" ref="E82:P82" si="27">(E21/E$70)</f>
        <v>4.762522709576953E-2</v>
      </c>
      <c r="F82" s="57">
        <f t="shared" si="27"/>
        <v>3.477852559085929E-2</v>
      </c>
      <c r="G82" s="57">
        <f t="shared" si="27"/>
        <v>2.1877459984256102E-2</v>
      </c>
      <c r="H82" s="57">
        <f t="shared" si="27"/>
        <v>1.324197397798137E-2</v>
      </c>
      <c r="I82" s="57">
        <f t="shared" si="27"/>
        <v>-1.0568341944574918E-2</v>
      </c>
      <c r="J82" s="57">
        <f t="shared" si="27"/>
        <v>-8.2258781680747007E-3</v>
      </c>
      <c r="K82" s="57">
        <f t="shared" si="27"/>
        <v>1.121830827911151E-3</v>
      </c>
      <c r="L82" s="315">
        <f t="shared" si="27"/>
        <v>9.025270758122744E-4</v>
      </c>
      <c r="M82" s="315">
        <f t="shared" ref="M82:O83" si="28">(M21/M$70)</f>
        <v>-5.0152638464893151E-3</v>
      </c>
      <c r="N82" s="315">
        <f t="shared" si="28"/>
        <v>2.0483408439164277E-4</v>
      </c>
      <c r="O82" s="315">
        <f t="shared" si="28"/>
        <v>-6.2172139110161263E-3</v>
      </c>
      <c r="P82" s="315">
        <f t="shared" si="27"/>
        <v>-2.1325209444021324E-2</v>
      </c>
      <c r="Q82" s="315">
        <f t="shared" ref="Q82:S83" si="29">(Q21/Q$70)</f>
        <v>1.2041284403669725E-2</v>
      </c>
      <c r="R82" s="315">
        <f t="shared" si="29"/>
        <v>2.3457027494712554E-2</v>
      </c>
      <c r="S82" s="315">
        <f t="shared" si="29"/>
        <v>-3.9032006245120999E-3</v>
      </c>
      <c r="T82" s="273">
        <f t="shared" si="25"/>
        <v>6.2706270627062711E-4</v>
      </c>
      <c r="U82" s="37"/>
      <c r="V82" s="37"/>
      <c r="W82" s="37"/>
      <c r="X82" s="37"/>
      <c r="Y82" s="37"/>
      <c r="Z82" s="37"/>
      <c r="AA82" s="37"/>
    </row>
    <row r="83" spans="1:27" x14ac:dyDescent="0.2">
      <c r="A83" s="27" t="s">
        <v>83</v>
      </c>
      <c r="B83" s="57">
        <f>(B22/B$70)</f>
        <v>1.291730417116055E-2</v>
      </c>
      <c r="C83" s="59" t="s">
        <v>76</v>
      </c>
      <c r="D83" s="59" t="s">
        <v>76</v>
      </c>
      <c r="E83" s="57">
        <f t="shared" ref="E83:P83" si="30">(E22/E$70)</f>
        <v>1.103036594861147E-3</v>
      </c>
      <c r="F83" s="57">
        <f t="shared" si="30"/>
        <v>-2.0347472217874473E-3</v>
      </c>
      <c r="G83" s="57">
        <f t="shared" si="30"/>
        <v>-8.8559433219627393E-3</v>
      </c>
      <c r="H83" s="57">
        <f t="shared" si="30"/>
        <v>1.2831370133702877E-2</v>
      </c>
      <c r="I83" s="57">
        <f t="shared" si="30"/>
        <v>7.045561296383278E-4</v>
      </c>
      <c r="J83" s="57">
        <f t="shared" si="30"/>
        <v>-2.2232103156958646E-3</v>
      </c>
      <c r="K83" s="57">
        <f t="shared" si="30"/>
        <v>-7.1797172986313666E-3</v>
      </c>
      <c r="L83" s="315">
        <f t="shared" si="30"/>
        <v>-1.3086642599277979E-2</v>
      </c>
      <c r="M83" s="315">
        <f t="shared" si="28"/>
        <v>-5.451373746184038E-3</v>
      </c>
      <c r="N83" s="315">
        <f t="shared" si="28"/>
        <v>-6.5546907005325688E-3</v>
      </c>
      <c r="O83" s="315">
        <f t="shared" si="28"/>
        <v>-6.9943656498931417E-3</v>
      </c>
      <c r="P83" s="315">
        <f t="shared" si="30"/>
        <v>-5.5217060167555218E-3</v>
      </c>
      <c r="Q83" s="315">
        <f t="shared" si="29"/>
        <v>-5.1605504587155966E-3</v>
      </c>
      <c r="R83" s="315">
        <f t="shared" si="29"/>
        <v>-4.4222264949048259E-3</v>
      </c>
      <c r="S83" s="315">
        <f t="shared" si="29"/>
        <v>1.4832162373145981E-2</v>
      </c>
      <c r="T83" s="273">
        <f t="shared" si="25"/>
        <v>-5.676567656765677E-3</v>
      </c>
      <c r="U83" s="37"/>
      <c r="V83" s="37"/>
      <c r="W83" s="37"/>
      <c r="X83" s="37"/>
      <c r="Y83" s="37"/>
      <c r="Z83" s="37"/>
      <c r="AA83" s="37"/>
    </row>
    <row r="84" spans="1:27" x14ac:dyDescent="0.2">
      <c r="A84" s="25" t="s">
        <v>84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315"/>
      <c r="M84" s="315"/>
      <c r="N84" s="315"/>
      <c r="O84" s="315"/>
      <c r="P84" s="315"/>
      <c r="Q84" s="315"/>
      <c r="R84" s="315"/>
      <c r="S84" s="315"/>
      <c r="T84" s="273"/>
      <c r="U84" s="37"/>
      <c r="V84" s="37"/>
      <c r="W84" s="37"/>
      <c r="X84" s="37"/>
      <c r="Y84" s="37"/>
      <c r="Z84" s="37"/>
      <c r="AA84" s="37"/>
    </row>
    <row r="85" spans="1:27" x14ac:dyDescent="0.2">
      <c r="A85" s="27" t="str">
        <f t="shared" ref="A85:A90" si="31">A24</f>
        <v xml:space="preserve">      Accounts receivable, prepayments and other current assets</v>
      </c>
      <c r="B85" s="57">
        <f t="shared" ref="B85:L85" si="32">(B24/B$70)</f>
        <v>-1.0258596904863427E-2</v>
      </c>
      <c r="C85" s="57">
        <f t="shared" si="32"/>
        <v>-3.2003481219217915E-2</v>
      </c>
      <c r="D85" s="57">
        <f t="shared" si="32"/>
        <v>4.9259027342934671E-2</v>
      </c>
      <c r="E85" s="57">
        <f t="shared" si="32"/>
        <v>2.465611212042564E-3</v>
      </c>
      <c r="F85" s="57">
        <f t="shared" si="32"/>
        <v>-5.321646580059477E-4</v>
      </c>
      <c r="G85" s="57">
        <f t="shared" si="32"/>
        <v>-4.5198110732091318E-2</v>
      </c>
      <c r="H85" s="57">
        <f t="shared" si="32"/>
        <v>1.8246208330125489E-2</v>
      </c>
      <c r="I85" s="57">
        <f t="shared" si="32"/>
        <v>-1.9023015500234851E-2</v>
      </c>
      <c r="J85" s="57">
        <f t="shared" si="32"/>
        <v>6.6696309470875941E-4</v>
      </c>
      <c r="K85" s="57">
        <f t="shared" si="32"/>
        <v>-1.121830827911151E-3</v>
      </c>
      <c r="L85" s="315">
        <f t="shared" si="32"/>
        <v>-3.1588447653429601E-3</v>
      </c>
      <c r="M85" s="315">
        <f t="shared" ref="M85:O90" si="33">(M24/M$70)</f>
        <v>-9.1583078935891845E-3</v>
      </c>
      <c r="N85" s="315">
        <f t="shared" si="33"/>
        <v>-3.482179434657927E-3</v>
      </c>
      <c r="O85" s="315">
        <f t="shared" si="33"/>
        <v>-1.3600155430347775E-3</v>
      </c>
      <c r="P85" s="315">
        <f t="shared" ref="P85:R90" si="34">(P24/P$70)</f>
        <v>9.5201827875095201E-4</v>
      </c>
      <c r="Q85" s="315">
        <f t="shared" ref="Q85" si="35">(Q24/Q$70)</f>
        <v>9.5565749235474004E-4</v>
      </c>
      <c r="R85" s="315">
        <f t="shared" si="34"/>
        <v>-4.8067679292443759E-3</v>
      </c>
      <c r="S85" s="315">
        <f t="shared" ref="S85:S90" si="36">(S24/S$70)</f>
        <v>7.9625292740046844E-2</v>
      </c>
      <c r="T85" s="273">
        <f t="shared" ref="T85:T89" si="37">SUM(M24:R24)/SUM($M$70:$R$70)</f>
        <v>-2.6732673267326735E-3</v>
      </c>
      <c r="U85" s="37"/>
      <c r="V85" s="37"/>
      <c r="W85" s="37"/>
      <c r="X85" s="37"/>
      <c r="Y85" s="37"/>
      <c r="Z85" s="37"/>
      <c r="AA85" s="37"/>
    </row>
    <row r="86" spans="1:27" x14ac:dyDescent="0.2">
      <c r="A86" s="27" t="str">
        <f t="shared" si="31"/>
        <v xml:space="preserve">      Derivative Collateral, net</v>
      </c>
      <c r="B86" s="57">
        <f>(B26/B$70)</f>
        <v>9.782036168451678E-4</v>
      </c>
      <c r="C86" s="57">
        <f>(C26/C$70)</f>
        <v>-1.8395078821923771E-3</v>
      </c>
      <c r="D86" s="57">
        <f>(D26/D$70)</f>
        <v>2.0872469213107912E-3</v>
      </c>
      <c r="E86" s="57">
        <f>(E26/E$70)</f>
        <v>-5.7747209966260054E-3</v>
      </c>
      <c r="F86" s="57">
        <f>(F26/F$70)</f>
        <v>4.413836281108155E-3</v>
      </c>
      <c r="G86" s="57">
        <f t="shared" ref="G86:L90" si="38">(G25/G$70)</f>
        <v>0</v>
      </c>
      <c r="H86" s="57">
        <f t="shared" si="38"/>
        <v>0</v>
      </c>
      <c r="I86" s="57">
        <f t="shared" si="38"/>
        <v>0</v>
      </c>
      <c r="J86" s="57">
        <f t="shared" si="38"/>
        <v>-1.823032458870609E-2</v>
      </c>
      <c r="K86" s="57">
        <f t="shared" si="38"/>
        <v>1.2788871438187121E-2</v>
      </c>
      <c r="L86" s="315">
        <f t="shared" si="38"/>
        <v>-2.3014440433212997E-2</v>
      </c>
      <c r="M86" s="315">
        <f t="shared" si="33"/>
        <v>8.7221979938944616E-4</v>
      </c>
      <c r="N86" s="315">
        <f t="shared" si="33"/>
        <v>1.3928717738631708E-2</v>
      </c>
      <c r="O86" s="315">
        <f t="shared" si="33"/>
        <v>8.3543811929279194E-3</v>
      </c>
      <c r="P86" s="315">
        <f t="shared" si="34"/>
        <v>-3.0464584920030465E-3</v>
      </c>
      <c r="Q86" s="315">
        <f t="shared" ref="Q86" si="39">(Q25/Q$70)</f>
        <v>-8.9831804281345559E-3</v>
      </c>
      <c r="R86" s="315">
        <f t="shared" si="34"/>
        <v>1.1536243030186503E-3</v>
      </c>
      <c r="S86" s="315">
        <f t="shared" si="36"/>
        <v>-5.4644808743169399E-3</v>
      </c>
      <c r="T86" s="273">
        <f t="shared" si="37"/>
        <v>1.9141914191419141E-3</v>
      </c>
      <c r="U86" s="37"/>
      <c r="V86" s="37"/>
      <c r="W86" s="37"/>
      <c r="X86" s="37"/>
      <c r="Y86" s="37"/>
      <c r="Z86" s="37"/>
      <c r="AA86" s="37"/>
    </row>
    <row r="87" spans="1:27" x14ac:dyDescent="0.2">
      <c r="A87" s="27" t="str">
        <f t="shared" si="31"/>
        <v xml:space="preserve">      Inventories</v>
      </c>
      <c r="B87" s="59" t="s">
        <v>76</v>
      </c>
      <c r="C87" s="59" t="s">
        <v>76</v>
      </c>
      <c r="D87" s="57">
        <f t="shared" ref="D87:F88" si="40">(D27/D$70)</f>
        <v>-3.4588663267435967E-3</v>
      </c>
      <c r="E87" s="57">
        <f t="shared" si="40"/>
        <v>1.0543732156760965E-2</v>
      </c>
      <c r="F87" s="57">
        <f t="shared" si="40"/>
        <v>-1.1519799655658162E-2</v>
      </c>
      <c r="G87" s="57">
        <f t="shared" si="38"/>
        <v>-5.3135659931776427E-3</v>
      </c>
      <c r="H87" s="57">
        <f t="shared" si="38"/>
        <v>-9.982805964020838E-3</v>
      </c>
      <c r="I87" s="57">
        <f t="shared" si="38"/>
        <v>-1.1272898074213245E-2</v>
      </c>
      <c r="J87" s="57">
        <f t="shared" si="38"/>
        <v>-1.1560693641618497E-2</v>
      </c>
      <c r="K87" s="57">
        <f t="shared" si="38"/>
        <v>-8.7502804577069774E-3</v>
      </c>
      <c r="L87" s="315">
        <f t="shared" si="38"/>
        <v>-5.8664259927797835E-3</v>
      </c>
      <c r="M87" s="315">
        <f t="shared" si="33"/>
        <v>-1.286524204099433E-2</v>
      </c>
      <c r="N87" s="315">
        <f t="shared" si="33"/>
        <v>-7.1691929537074971E-3</v>
      </c>
      <c r="O87" s="315">
        <f t="shared" si="33"/>
        <v>2.7200310860695551E-3</v>
      </c>
      <c r="P87" s="315">
        <f t="shared" si="34"/>
        <v>7.0449352627570449E-3</v>
      </c>
      <c r="Q87" s="315">
        <f t="shared" ref="Q87" si="41">(Q26/Q$70)</f>
        <v>-1.337920489296636E-3</v>
      </c>
      <c r="R87" s="315">
        <f t="shared" si="34"/>
        <v>-4.0376850605652759E-3</v>
      </c>
      <c r="S87" s="315">
        <f t="shared" si="36"/>
        <v>1.56128024980484E-3</v>
      </c>
      <c r="T87" s="273">
        <f t="shared" si="37"/>
        <v>-2.3432343234323434E-3</v>
      </c>
      <c r="U87" s="37"/>
      <c r="V87" s="37"/>
      <c r="W87" s="37"/>
      <c r="X87" s="37"/>
      <c r="Y87" s="37"/>
      <c r="Z87" s="37"/>
      <c r="AA87" s="37"/>
    </row>
    <row r="88" spans="1:27" x14ac:dyDescent="0.2">
      <c r="A88" s="27" t="str">
        <f t="shared" si="31"/>
        <v xml:space="preserve">      Income taxes, net</v>
      </c>
      <c r="B88" s="57">
        <f>(B28/B$70)</f>
        <v>1.6629461486367854E-2</v>
      </c>
      <c r="C88" s="57">
        <f>(C28/C$70)</f>
        <v>0.10756176197163597</v>
      </c>
      <c r="D88" s="57">
        <f t="shared" si="40"/>
        <v>-4.5024897873989923E-2</v>
      </c>
      <c r="E88" s="57">
        <f t="shared" si="40"/>
        <v>-3.1501427459122759E-2</v>
      </c>
      <c r="F88" s="57">
        <f t="shared" si="40"/>
        <v>-1.0330255125997809E-3</v>
      </c>
      <c r="G88" s="57">
        <f t="shared" si="38"/>
        <v>-1.075833114668066E-2</v>
      </c>
      <c r="H88" s="57">
        <f t="shared" si="38"/>
        <v>9.2899119768008846E-3</v>
      </c>
      <c r="I88" s="57">
        <f t="shared" si="38"/>
        <v>4.9318929074682952E-3</v>
      </c>
      <c r="J88" s="57">
        <f t="shared" si="38"/>
        <v>-4.4464206313917292E-3</v>
      </c>
      <c r="K88" s="57">
        <f t="shared" si="38"/>
        <v>-4.6219430109939424E-2</v>
      </c>
      <c r="L88" s="315">
        <f t="shared" si="38"/>
        <v>-2.1660649819494584E-2</v>
      </c>
      <c r="M88" s="315">
        <f t="shared" si="33"/>
        <v>5.9965111208024426E-2</v>
      </c>
      <c r="N88" s="315">
        <f t="shared" si="33"/>
        <v>2.4170421958213846E-2</v>
      </c>
      <c r="O88" s="315">
        <f t="shared" si="33"/>
        <v>-5.0514863027006024E-3</v>
      </c>
      <c r="P88" s="315">
        <f t="shared" si="34"/>
        <v>-2.9512566641279513E-2</v>
      </c>
      <c r="Q88" s="315">
        <f t="shared" ref="Q88" si="42">(Q27/Q$70)</f>
        <v>2.2171253822629969E-2</v>
      </c>
      <c r="R88" s="315">
        <f t="shared" si="34"/>
        <v>0</v>
      </c>
      <c r="S88" s="315">
        <f t="shared" si="36"/>
        <v>7.5722092115534739E-2</v>
      </c>
      <c r="T88" s="273">
        <f t="shared" si="37"/>
        <v>1.0825082508250825E-2</v>
      </c>
      <c r="U88" s="37"/>
      <c r="V88" s="37"/>
      <c r="W88" s="37"/>
      <c r="X88" s="37"/>
      <c r="Y88" s="37"/>
      <c r="Z88" s="37"/>
      <c r="AA88" s="37"/>
    </row>
    <row r="89" spans="1:27" x14ac:dyDescent="0.2">
      <c r="A89" s="27" t="str">
        <f t="shared" si="31"/>
        <v xml:space="preserve">      Accounts payable and accrued liabilities</v>
      </c>
      <c r="B89" s="57"/>
      <c r="C89" s="57"/>
      <c r="D89" s="57"/>
      <c r="E89" s="57"/>
      <c r="F89" s="57"/>
      <c r="G89" s="57">
        <f t="shared" si="38"/>
        <v>2.7584623458409861E-2</v>
      </c>
      <c r="H89" s="57">
        <f t="shared" si="38"/>
        <v>-3.438807195832371E-3</v>
      </c>
      <c r="I89" s="57">
        <f t="shared" si="38"/>
        <v>0</v>
      </c>
      <c r="J89" s="57">
        <f t="shared" si="38"/>
        <v>-1.6229435304579813E-2</v>
      </c>
      <c r="K89" s="57">
        <f t="shared" si="38"/>
        <v>-5.3847879739735245E-3</v>
      </c>
      <c r="L89" s="315">
        <f t="shared" si="38"/>
        <v>-3.0460288808664259E-2</v>
      </c>
      <c r="M89" s="315">
        <f t="shared" si="33"/>
        <v>-7.4138682948102922E-3</v>
      </c>
      <c r="N89" s="315">
        <f t="shared" si="33"/>
        <v>7.1691929537074971E-3</v>
      </c>
      <c r="O89" s="315">
        <f t="shared" si="33"/>
        <v>1.9428793471925393E-3</v>
      </c>
      <c r="P89" s="315">
        <f t="shared" si="34"/>
        <v>2.2658035034272658E-2</v>
      </c>
      <c r="Q89" s="315">
        <f t="shared" ref="Q89" si="43">(Q28/Q$70)</f>
        <v>1.337920489296636E-3</v>
      </c>
      <c r="R89" s="315">
        <f t="shared" si="34"/>
        <v>-3.1340126898673333E-2</v>
      </c>
      <c r="S89" s="315">
        <f t="shared" si="36"/>
        <v>-5.4644808743169399E-3</v>
      </c>
      <c r="T89" s="273">
        <f t="shared" si="37"/>
        <v>-8.5808580858085805E-4</v>
      </c>
      <c r="U89" s="37"/>
      <c r="V89" s="37"/>
      <c r="W89" s="37"/>
      <c r="X89" s="37"/>
      <c r="Y89" s="37"/>
      <c r="Z89" s="37"/>
      <c r="AA89" s="37"/>
    </row>
    <row r="90" spans="1:27" hidden="1" x14ac:dyDescent="0.2">
      <c r="A90" s="27" t="str">
        <f t="shared" si="31"/>
        <v xml:space="preserve">      Other</v>
      </c>
      <c r="B90" s="59" t="s">
        <v>76</v>
      </c>
      <c r="C90" s="57">
        <f>(C29/C$70)</f>
        <v>-6.3492691417607857E-3</v>
      </c>
      <c r="D90" s="57">
        <f>(D29/D$70)</f>
        <v>-1.2821659659480575E-2</v>
      </c>
      <c r="E90" s="57">
        <f>(E29/E$70)</f>
        <v>3.8930703348040484E-4</v>
      </c>
      <c r="F90" s="57">
        <f>(F29/F$70)</f>
        <v>8.7650649553920796E-4</v>
      </c>
      <c r="G90" s="57">
        <f t="shared" si="38"/>
        <v>-8.5607452112306474E-3</v>
      </c>
      <c r="H90" s="57">
        <f t="shared" si="38"/>
        <v>4.8759206508070934E-4</v>
      </c>
      <c r="I90" s="57">
        <f t="shared" si="38"/>
        <v>-1.6439643024894317E-3</v>
      </c>
      <c r="J90" s="57">
        <f t="shared" si="38"/>
        <v>0</v>
      </c>
      <c r="K90" s="57">
        <f t="shared" si="38"/>
        <v>0</v>
      </c>
      <c r="L90" s="315">
        <f t="shared" si="38"/>
        <v>0</v>
      </c>
      <c r="M90" s="315">
        <f t="shared" si="33"/>
        <v>0</v>
      </c>
      <c r="N90" s="315">
        <f t="shared" si="33"/>
        <v>0</v>
      </c>
      <c r="O90" s="315">
        <f t="shared" si="33"/>
        <v>0</v>
      </c>
      <c r="P90" s="315">
        <f t="shared" si="34"/>
        <v>0</v>
      </c>
      <c r="Q90" s="315">
        <f t="shared" ref="Q90" si="44">(Q29/Q$70)</f>
        <v>0</v>
      </c>
      <c r="R90" s="315">
        <f t="shared" si="34"/>
        <v>0</v>
      </c>
      <c r="S90" s="315">
        <f t="shared" si="36"/>
        <v>0</v>
      </c>
      <c r="T90" s="273">
        <f t="shared" ref="T90" si="45">SUM(L29:R29)/SUM($L$70:$R$70)</f>
        <v>0</v>
      </c>
      <c r="U90" s="37"/>
      <c r="V90" s="37"/>
      <c r="W90" s="37"/>
      <c r="X90" s="37"/>
      <c r="Y90" s="37"/>
      <c r="Z90" s="37"/>
      <c r="AA90" s="37"/>
    </row>
    <row r="91" spans="1:27" ht="7.5" customHeight="1" x14ac:dyDescent="0.2">
      <c r="A91" s="2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315"/>
      <c r="M91" s="315"/>
      <c r="N91" s="315"/>
      <c r="O91" s="315"/>
      <c r="P91" s="315"/>
      <c r="Q91" s="315"/>
      <c r="R91" s="315"/>
      <c r="S91" s="315"/>
      <c r="T91" s="273"/>
      <c r="U91" s="37"/>
      <c r="V91" s="37"/>
      <c r="W91" s="37"/>
      <c r="X91" s="37"/>
      <c r="Y91" s="37"/>
      <c r="Z91" s="37"/>
      <c r="AA91" s="37"/>
    </row>
    <row r="92" spans="1:27" x14ac:dyDescent="0.2">
      <c r="A92" s="211" t="s">
        <v>89</v>
      </c>
      <c r="B92" s="219">
        <f t="shared" ref="B92:L92" si="46">(B31/B$70)</f>
        <v>0.18947051593970249</v>
      </c>
      <c r="C92" s="219">
        <f t="shared" si="46"/>
        <v>0.12751943351069087</v>
      </c>
      <c r="D92" s="219">
        <f t="shared" si="46"/>
        <v>0.10215582789158238</v>
      </c>
      <c r="E92" s="219">
        <f t="shared" si="46"/>
        <v>0.22112639501686981</v>
      </c>
      <c r="F92" s="219">
        <f t="shared" si="46"/>
        <v>0.26041634058538105</v>
      </c>
      <c r="G92" s="219">
        <f t="shared" si="46"/>
        <v>0.2332393072684335</v>
      </c>
      <c r="H92" s="219">
        <f t="shared" si="46"/>
        <v>0.22957887443221181</v>
      </c>
      <c r="I92" s="219">
        <f t="shared" si="46"/>
        <v>0.19351808360732739</v>
      </c>
      <c r="J92" s="219">
        <f t="shared" si="46"/>
        <v>0.22054246331702979</v>
      </c>
      <c r="K92" s="219">
        <f t="shared" si="46"/>
        <v>0.33654924837334532</v>
      </c>
      <c r="L92" s="317">
        <f t="shared" si="46"/>
        <v>0.31814079422382674</v>
      </c>
      <c r="M92" s="317">
        <f t="shared" ref="M92:S92" si="47">(M31/M$70)</f>
        <v>0.35673789795028349</v>
      </c>
      <c r="N92" s="317">
        <f t="shared" si="47"/>
        <v>0.33326505530520278</v>
      </c>
      <c r="O92" s="317">
        <f t="shared" si="47"/>
        <v>0.30172916261900135</v>
      </c>
      <c r="P92" s="317">
        <f t="shared" si="47"/>
        <v>0.29893373952779895</v>
      </c>
      <c r="Q92" s="317">
        <f t="shared" ref="Q92" si="48">(Q31/Q$70)</f>
        <v>0.33142201834862384</v>
      </c>
      <c r="R92" s="317">
        <f t="shared" si="47"/>
        <v>0.30148048452220727</v>
      </c>
      <c r="S92" s="317">
        <f t="shared" si="47"/>
        <v>0.44418423106947696</v>
      </c>
      <c r="T92" s="319">
        <f>SUM(M31:R31)/SUM($M$70:$R$70)</f>
        <v>0.31973597359735972</v>
      </c>
      <c r="U92" s="37"/>
      <c r="V92" s="37"/>
      <c r="W92" s="37"/>
      <c r="X92" s="37"/>
      <c r="Y92" s="37"/>
      <c r="Z92" s="37"/>
      <c r="AA92" s="37"/>
    </row>
    <row r="93" spans="1:27" x14ac:dyDescent="0.2">
      <c r="A93" s="27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318"/>
      <c r="M93" s="318"/>
      <c r="N93" s="318"/>
      <c r="O93" s="318"/>
      <c r="P93" s="318"/>
      <c r="Q93" s="318"/>
      <c r="R93" s="318"/>
      <c r="S93" s="318"/>
      <c r="T93" s="291"/>
      <c r="U93" s="37"/>
      <c r="V93" s="37"/>
      <c r="W93" s="37"/>
      <c r="X93" s="37"/>
      <c r="Y93" s="37"/>
      <c r="Z93" s="37"/>
      <c r="AA93" s="37"/>
    </row>
    <row r="94" spans="1:27" x14ac:dyDescent="0.2">
      <c r="A94" s="210" t="s">
        <v>90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315"/>
      <c r="M94" s="315"/>
      <c r="N94" s="315"/>
      <c r="O94" s="315"/>
      <c r="P94" s="315"/>
      <c r="Q94" s="315"/>
      <c r="R94" s="315"/>
      <c r="S94" s="315"/>
      <c r="T94" s="228"/>
      <c r="U94" s="37"/>
      <c r="V94" s="37"/>
      <c r="W94" s="37"/>
      <c r="X94" s="37"/>
      <c r="Y94" s="37"/>
      <c r="Z94" s="37"/>
      <c r="AA94" s="37"/>
    </row>
    <row r="95" spans="1:27" hidden="1" x14ac:dyDescent="0.2">
      <c r="A95" s="25" t="s">
        <v>91</v>
      </c>
      <c r="B95" s="57">
        <f t="shared" ref="B95:D101" si="49">(B34/B$70)</f>
        <v>-6.5213574456344527E-4</v>
      </c>
      <c r="C95" s="57">
        <f t="shared" si="49"/>
        <v>-7.1463892240441487E-2</v>
      </c>
      <c r="D95" s="57">
        <f t="shared" si="49"/>
        <v>-0.10680740674478933</v>
      </c>
      <c r="E95" s="59" t="s">
        <v>76</v>
      </c>
      <c r="F95" s="59" t="s">
        <v>76</v>
      </c>
      <c r="G95" s="59" t="s">
        <v>76</v>
      </c>
      <c r="H95" s="59" t="s">
        <v>76</v>
      </c>
      <c r="I95" s="59" t="s">
        <v>76</v>
      </c>
      <c r="J95" s="59"/>
      <c r="K95" s="59"/>
      <c r="L95" s="316"/>
      <c r="M95" s="316"/>
      <c r="N95" s="316"/>
      <c r="O95" s="316"/>
      <c r="P95" s="316"/>
      <c r="Q95" s="316"/>
      <c r="R95" s="316"/>
      <c r="S95" s="316"/>
      <c r="T95" s="228">
        <f>SUM(L95:R95)/SUM($L$70:$R$70)</f>
        <v>0</v>
      </c>
      <c r="U95" s="37"/>
      <c r="V95" s="37"/>
      <c r="W95" s="37"/>
      <c r="X95" s="37"/>
      <c r="Y95" s="37"/>
      <c r="Z95" s="37"/>
      <c r="AA95" s="37"/>
    </row>
    <row r="96" spans="1:27" x14ac:dyDescent="0.2">
      <c r="A96" s="27" t="s">
        <v>92</v>
      </c>
      <c r="B96" s="57">
        <f t="shared" si="49"/>
        <v>-0.14397150668439138</v>
      </c>
      <c r="C96" s="57">
        <f t="shared" si="49"/>
        <v>-9.6069782621595434E-2</v>
      </c>
      <c r="D96" s="57">
        <f t="shared" si="49"/>
        <v>-0.15066940990547753</v>
      </c>
      <c r="E96" s="57">
        <f t="shared" ref="E96:Q96" si="50">(E35/E$70)</f>
        <v>-0.17843239034518557</v>
      </c>
      <c r="F96" s="57">
        <f t="shared" si="50"/>
        <v>-0.21612145875723901</v>
      </c>
      <c r="G96" s="57">
        <f t="shared" si="50"/>
        <v>-0.27932301233272105</v>
      </c>
      <c r="H96" s="57">
        <f t="shared" si="50"/>
        <v>-0.26920214540508636</v>
      </c>
      <c r="I96" s="57">
        <f t="shared" si="50"/>
        <v>-0.35674025364020667</v>
      </c>
      <c r="J96" s="57">
        <f t="shared" si="50"/>
        <v>-0.3977323254779902</v>
      </c>
      <c r="K96" s="57">
        <f t="shared" si="50"/>
        <v>-0.52232443347543189</v>
      </c>
      <c r="L96" s="315">
        <f t="shared" si="50"/>
        <v>-0.36259025270758122</v>
      </c>
      <c r="M96" s="315">
        <f t="shared" ref="M96:O101" si="51">(M35/M$70)</f>
        <v>-0.32839075447012644</v>
      </c>
      <c r="N96" s="315">
        <f t="shared" si="51"/>
        <v>-0.27570667759115119</v>
      </c>
      <c r="O96" s="315">
        <f t="shared" si="51"/>
        <v>-0.20691665047600544</v>
      </c>
      <c r="P96" s="315">
        <f t="shared" si="50"/>
        <v>-0.20297029702970298</v>
      </c>
      <c r="Q96" s="315">
        <f t="shared" si="50"/>
        <v>-0.17507645259938837</v>
      </c>
      <c r="R96" s="315">
        <f t="shared" ref="R96:S101" si="52">(R35/R$70)</f>
        <v>-0.17362045760430686</v>
      </c>
      <c r="S96" s="315">
        <f t="shared" si="52"/>
        <v>-0.13895394223263074</v>
      </c>
      <c r="T96" s="273">
        <f t="shared" ref="T96:T101" si="53">SUM(M35:R35)/SUM($M$70:$R$70)</f>
        <v>-0.22448844884488448</v>
      </c>
      <c r="U96" s="37"/>
      <c r="V96" s="37"/>
      <c r="W96" s="37"/>
      <c r="X96" s="37"/>
      <c r="Y96" s="37"/>
      <c r="Z96" s="37"/>
      <c r="AA96" s="37"/>
    </row>
    <row r="97" spans="1:27" x14ac:dyDescent="0.2">
      <c r="A97" s="27" t="s">
        <v>93</v>
      </c>
      <c r="B97" s="57">
        <f t="shared" si="49"/>
        <v>4.2464069828688958E-2</v>
      </c>
      <c r="C97" s="57">
        <f t="shared" si="49"/>
        <v>0.19977451193702159</v>
      </c>
      <c r="D97" s="57">
        <f t="shared" si="49"/>
        <v>2.4808420550436833E-2</v>
      </c>
      <c r="E97" s="57">
        <f t="shared" ref="E97:Q97" si="54">(E36/E$70)</f>
        <v>5.2880872047754999E-3</v>
      </c>
      <c r="F97" s="57">
        <f t="shared" si="54"/>
        <v>1.0330255125997809E-3</v>
      </c>
      <c r="G97" s="57">
        <f t="shared" si="54"/>
        <v>2.3287850957753866E-3</v>
      </c>
      <c r="H97" s="57">
        <f t="shared" si="54"/>
        <v>3.3361562347627484E-4</v>
      </c>
      <c r="I97" s="57">
        <f t="shared" si="54"/>
        <v>2.1136683889149835E-3</v>
      </c>
      <c r="J97" s="57">
        <f t="shared" si="54"/>
        <v>-6.8474877723432637E-2</v>
      </c>
      <c r="K97" s="57">
        <f t="shared" si="54"/>
        <v>0</v>
      </c>
      <c r="L97" s="315">
        <f t="shared" si="54"/>
        <v>0</v>
      </c>
      <c r="M97" s="315">
        <f t="shared" si="51"/>
        <v>0</v>
      </c>
      <c r="N97" s="315">
        <f t="shared" si="51"/>
        <v>0</v>
      </c>
      <c r="O97" s="315">
        <f t="shared" si="51"/>
        <v>0</v>
      </c>
      <c r="P97" s="315">
        <f t="shared" si="54"/>
        <v>0</v>
      </c>
      <c r="Q97" s="315">
        <f t="shared" si="54"/>
        <v>0</v>
      </c>
      <c r="R97" s="315">
        <f t="shared" si="52"/>
        <v>0</v>
      </c>
      <c r="S97" s="315">
        <f t="shared" si="52"/>
        <v>0</v>
      </c>
      <c r="T97" s="273">
        <f t="shared" si="53"/>
        <v>0</v>
      </c>
      <c r="U97" s="37"/>
      <c r="V97" s="37"/>
      <c r="W97" s="37"/>
      <c r="X97" s="37"/>
      <c r="Y97" s="37"/>
      <c r="Z97" s="37"/>
      <c r="AA97" s="37"/>
    </row>
    <row r="98" spans="1:27" x14ac:dyDescent="0.2">
      <c r="A98" s="29" t="s">
        <v>94</v>
      </c>
      <c r="B98" s="57">
        <f t="shared" si="49"/>
        <v>1.1989264842358724E-2</v>
      </c>
      <c r="C98" s="57">
        <f t="shared" si="49"/>
        <v>9.5931325039064815E-3</v>
      </c>
      <c r="D98" s="57">
        <f t="shared" si="49"/>
        <v>1.0734412738169783E-2</v>
      </c>
      <c r="E98" s="59" t="s">
        <v>76</v>
      </c>
      <c r="F98" s="59" t="s">
        <v>76</v>
      </c>
      <c r="G98" s="57">
        <f t="shared" ref="G98:L101" si="55">(G37/G$70)</f>
        <v>0</v>
      </c>
      <c r="H98" s="57">
        <f t="shared" si="55"/>
        <v>0</v>
      </c>
      <c r="I98" s="57">
        <f t="shared" si="55"/>
        <v>0</v>
      </c>
      <c r="J98" s="57">
        <f t="shared" si="55"/>
        <v>0</v>
      </c>
      <c r="K98" s="57">
        <f t="shared" si="55"/>
        <v>0</v>
      </c>
      <c r="L98" s="315">
        <f t="shared" si="55"/>
        <v>0</v>
      </c>
      <c r="M98" s="315">
        <f t="shared" si="51"/>
        <v>0</v>
      </c>
      <c r="N98" s="315">
        <f t="shared" si="51"/>
        <v>0</v>
      </c>
      <c r="O98" s="315">
        <f t="shared" si="51"/>
        <v>0</v>
      </c>
      <c r="P98" s="315">
        <f>(P37/P$70)</f>
        <v>0</v>
      </c>
      <c r="Q98" s="315">
        <f t="shared" ref="Q98" si="56">(Q37/Q$70)</f>
        <v>0</v>
      </c>
      <c r="R98" s="315">
        <f t="shared" si="52"/>
        <v>0</v>
      </c>
      <c r="S98" s="315">
        <f t="shared" si="52"/>
        <v>0</v>
      </c>
      <c r="T98" s="273">
        <f t="shared" si="53"/>
        <v>0</v>
      </c>
      <c r="U98" s="37"/>
      <c r="V98" s="37"/>
      <c r="W98" s="37"/>
      <c r="X98" s="37"/>
      <c r="Y98" s="37"/>
      <c r="Z98" s="37"/>
      <c r="AA98" s="37"/>
    </row>
    <row r="99" spans="1:27" x14ac:dyDescent="0.2">
      <c r="A99" s="27" t="s">
        <v>95</v>
      </c>
      <c r="B99" s="57">
        <f t="shared" si="49"/>
        <v>3.1578419323283757E-2</v>
      </c>
      <c r="C99" s="57">
        <f t="shared" si="49"/>
        <v>2.3715805922028602E-2</v>
      </c>
      <c r="D99" s="57">
        <f t="shared" si="49"/>
        <v>3.6049736112353521E-2</v>
      </c>
      <c r="E99" s="57">
        <f t="shared" ref="E99:F101" si="57">(E38/E$70)</f>
        <v>4.311575395795484E-2</v>
      </c>
      <c r="F99" s="57">
        <f t="shared" si="57"/>
        <v>2.9989043668805761E-2</v>
      </c>
      <c r="G99" s="57">
        <f t="shared" si="55"/>
        <v>1.6104696929939648E-2</v>
      </c>
      <c r="H99" s="57">
        <f t="shared" si="55"/>
        <v>3.1667821489978702E-2</v>
      </c>
      <c r="I99" s="57">
        <f t="shared" si="55"/>
        <v>7.0455612963832787E-3</v>
      </c>
      <c r="J99" s="57">
        <f t="shared" si="55"/>
        <v>1.4895509115162294E-2</v>
      </c>
      <c r="K99" s="57">
        <f t="shared" si="55"/>
        <v>8.077181960960288E-3</v>
      </c>
      <c r="L99" s="315">
        <f t="shared" si="55"/>
        <v>0</v>
      </c>
      <c r="M99" s="315">
        <f t="shared" si="51"/>
        <v>0</v>
      </c>
      <c r="N99" s="315">
        <f t="shared" si="51"/>
        <v>0</v>
      </c>
      <c r="O99" s="315">
        <f t="shared" si="51"/>
        <v>0</v>
      </c>
      <c r="P99" s="315">
        <f>(P38/P$70)</f>
        <v>0</v>
      </c>
      <c r="Q99" s="315">
        <f t="shared" ref="Q99" si="58">(Q38/Q$70)</f>
        <v>0</v>
      </c>
      <c r="R99" s="315">
        <f t="shared" si="52"/>
        <v>0</v>
      </c>
      <c r="S99" s="315">
        <f t="shared" si="52"/>
        <v>0</v>
      </c>
      <c r="T99" s="273">
        <f t="shared" si="53"/>
        <v>0</v>
      </c>
      <c r="U99" s="37"/>
      <c r="V99" s="37"/>
      <c r="W99" s="37"/>
      <c r="X99" s="37"/>
      <c r="Y99" s="37"/>
      <c r="Z99" s="37"/>
      <c r="AA99" s="37"/>
    </row>
    <row r="100" spans="1:27" x14ac:dyDescent="0.2">
      <c r="A100" s="27" t="s">
        <v>96</v>
      </c>
      <c r="B100" s="57">
        <f t="shared" si="49"/>
        <v>-3.2707115804258946E-2</v>
      </c>
      <c r="C100" s="57">
        <f t="shared" si="49"/>
        <v>-2.2647704571078189E-2</v>
      </c>
      <c r="D100" s="57">
        <f t="shared" si="49"/>
        <v>-4.5323076005605749E-2</v>
      </c>
      <c r="E100" s="57">
        <f t="shared" si="57"/>
        <v>-4.3569945497015317E-2</v>
      </c>
      <c r="F100" s="57">
        <f t="shared" si="57"/>
        <v>-2.7985600250430429E-2</v>
      </c>
      <c r="G100" s="57">
        <f t="shared" si="55"/>
        <v>-1.4661506166360536E-2</v>
      </c>
      <c r="H100" s="57">
        <f t="shared" si="55"/>
        <v>-2.1787666487027488E-2</v>
      </c>
      <c r="I100" s="57">
        <f t="shared" si="55"/>
        <v>-5.8713010803193985E-3</v>
      </c>
      <c r="J100" s="57">
        <f t="shared" si="55"/>
        <v>-1.1560693641618497E-2</v>
      </c>
      <c r="K100" s="57">
        <f t="shared" si="55"/>
        <v>-4.7116894772268342E-3</v>
      </c>
      <c r="L100" s="315">
        <f t="shared" si="55"/>
        <v>0</v>
      </c>
      <c r="M100" s="315">
        <f t="shared" si="51"/>
        <v>0</v>
      </c>
      <c r="N100" s="315">
        <f t="shared" si="51"/>
        <v>0</v>
      </c>
      <c r="O100" s="315">
        <f t="shared" si="51"/>
        <v>0</v>
      </c>
      <c r="P100" s="315">
        <f>(P39/P$70)</f>
        <v>0</v>
      </c>
      <c r="Q100" s="315">
        <f t="shared" ref="Q100" si="59">(Q39/Q$70)</f>
        <v>0</v>
      </c>
      <c r="R100" s="315">
        <f t="shared" si="52"/>
        <v>0</v>
      </c>
      <c r="S100" s="315">
        <f t="shared" si="52"/>
        <v>0</v>
      </c>
      <c r="T100" s="273">
        <f t="shared" si="53"/>
        <v>0</v>
      </c>
      <c r="U100" s="37"/>
      <c r="V100" s="37"/>
      <c r="W100" s="37"/>
      <c r="X100" s="37"/>
      <c r="Y100" s="37"/>
      <c r="Z100" s="37"/>
      <c r="AA100" s="37"/>
    </row>
    <row r="101" spans="1:27" x14ac:dyDescent="0.2">
      <c r="A101" s="27" t="s">
        <v>97</v>
      </c>
      <c r="B101" s="57">
        <f t="shared" si="49"/>
        <v>2.5834608342321101E-3</v>
      </c>
      <c r="C101" s="57">
        <f t="shared" si="49"/>
        <v>2.9471685424372492E-3</v>
      </c>
      <c r="D101" s="57">
        <f t="shared" si="49"/>
        <v>6.1722873244476256E-2</v>
      </c>
      <c r="E101" s="57">
        <f t="shared" si="57"/>
        <v>3.2442252790033741E-3</v>
      </c>
      <c r="F101" s="57">
        <f t="shared" si="57"/>
        <v>-7.1372671779621226E-3</v>
      </c>
      <c r="G101" s="57">
        <f t="shared" si="55"/>
        <v>-2.1647861453686695E-3</v>
      </c>
      <c r="H101" s="57">
        <f t="shared" si="55"/>
        <v>-3.8237482998434574E-3</v>
      </c>
      <c r="I101" s="57">
        <f t="shared" si="55"/>
        <v>1.8788163457022077E-3</v>
      </c>
      <c r="J101" s="57">
        <f t="shared" si="55"/>
        <v>1.3339261894175188E-3</v>
      </c>
      <c r="K101" s="57">
        <f t="shared" si="55"/>
        <v>1.121830827911151E-3</v>
      </c>
      <c r="L101" s="315">
        <f t="shared" si="55"/>
        <v>-1.3537906137184115E-3</v>
      </c>
      <c r="M101" s="315">
        <f t="shared" si="51"/>
        <v>-5.0152638464893151E-3</v>
      </c>
      <c r="N101" s="315">
        <f t="shared" si="51"/>
        <v>8.1933633756657109E-4</v>
      </c>
      <c r="O101" s="315">
        <f t="shared" si="51"/>
        <v>3.1086069555080632E-3</v>
      </c>
      <c r="P101" s="315">
        <f>(P40/P$70)</f>
        <v>-2.4752475247524753E-3</v>
      </c>
      <c r="Q101" s="315">
        <f t="shared" ref="Q101" si="60">(Q40/Q$70)</f>
        <v>-3.8226299694189603E-4</v>
      </c>
      <c r="R101" s="315">
        <f t="shared" si="52"/>
        <v>6.5372043837723512E-3</v>
      </c>
      <c r="S101" s="315">
        <f t="shared" si="52"/>
        <v>1.56128024980484E-2</v>
      </c>
      <c r="T101" s="273">
        <f t="shared" si="53"/>
        <v>5.2805280528052802E-4</v>
      </c>
      <c r="U101" s="37"/>
      <c r="V101" s="37"/>
      <c r="W101" s="37"/>
      <c r="X101" s="37"/>
      <c r="Y101" s="37"/>
      <c r="Z101" s="37"/>
      <c r="AA101" s="37"/>
    </row>
    <row r="102" spans="1:27" ht="7.5" customHeight="1" x14ac:dyDescent="0.2">
      <c r="A102" s="2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315"/>
      <c r="M102" s="315"/>
      <c r="N102" s="315"/>
      <c r="O102" s="315"/>
      <c r="P102" s="315"/>
      <c r="Q102" s="315"/>
      <c r="R102" s="315"/>
      <c r="S102" s="315"/>
      <c r="T102" s="228"/>
      <c r="U102" s="37"/>
      <c r="V102" s="37"/>
      <c r="W102" s="37"/>
      <c r="X102" s="37"/>
      <c r="Y102" s="37"/>
      <c r="Z102" s="37"/>
      <c r="AA102" s="37"/>
    </row>
    <row r="103" spans="1:27" x14ac:dyDescent="0.2">
      <c r="A103" s="211" t="s">
        <v>98</v>
      </c>
      <c r="B103" s="219">
        <f t="shared" ref="B103:L103" si="61">(B42/B$70)</f>
        <v>-8.8715543404650224E-2</v>
      </c>
      <c r="C103" s="219">
        <f t="shared" si="61"/>
        <v>4.584923947227882E-2</v>
      </c>
      <c r="D103" s="219">
        <f t="shared" si="61"/>
        <v>-0.16948445001043624</v>
      </c>
      <c r="E103" s="219">
        <f t="shared" si="61"/>
        <v>-0.17035426940046716</v>
      </c>
      <c r="F103" s="219">
        <f t="shared" si="61"/>
        <v>-0.22022225700422601</v>
      </c>
      <c r="G103" s="219">
        <f t="shared" si="61"/>
        <v>-0.27771582261873523</v>
      </c>
      <c r="H103" s="219">
        <f t="shared" si="61"/>
        <v>-0.26281212307850238</v>
      </c>
      <c r="I103" s="219">
        <f t="shared" si="61"/>
        <v>-0.35157350868952558</v>
      </c>
      <c r="J103" s="219">
        <f t="shared" si="61"/>
        <v>-0.46153846153846156</v>
      </c>
      <c r="K103" s="219">
        <f t="shared" si="61"/>
        <v>-0.51783711016378731</v>
      </c>
      <c r="L103" s="317">
        <f t="shared" si="61"/>
        <v>-0.36394404332129965</v>
      </c>
      <c r="M103" s="317">
        <f t="shared" ref="M103:S103" si="62">(M42/M$70)</f>
        <v>-0.33340601831661576</v>
      </c>
      <c r="N103" s="317">
        <f t="shared" si="62"/>
        <v>-0.27488734125358461</v>
      </c>
      <c r="O103" s="317">
        <f t="shared" si="62"/>
        <v>-0.20380804352049739</v>
      </c>
      <c r="P103" s="317">
        <f t="shared" si="62"/>
        <v>-0.20544554455445543</v>
      </c>
      <c r="Q103" s="317">
        <f t="shared" ref="Q103" si="63">(Q42/Q$70)</f>
        <v>-0.17545871559633028</v>
      </c>
      <c r="R103" s="317">
        <f t="shared" si="62"/>
        <v>-0.16708325322053452</v>
      </c>
      <c r="S103" s="317">
        <f t="shared" si="62"/>
        <v>-0.12334113973458236</v>
      </c>
      <c r="T103" s="319">
        <f>SUM(M42:R42)/SUM($M$70:$R$70)</f>
        <v>-0.22396039603960397</v>
      </c>
      <c r="U103" s="37"/>
      <c r="V103" s="37"/>
      <c r="W103" s="37"/>
      <c r="X103" s="37"/>
      <c r="Y103" s="37"/>
      <c r="Z103" s="37"/>
      <c r="AA103" s="37"/>
    </row>
    <row r="104" spans="1:27" x14ac:dyDescent="0.2">
      <c r="A104" s="27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318"/>
      <c r="M104" s="318"/>
      <c r="N104" s="318"/>
      <c r="O104" s="318"/>
      <c r="P104" s="318"/>
      <c r="Q104" s="318"/>
      <c r="R104" s="318"/>
      <c r="S104" s="318"/>
      <c r="T104" s="291"/>
      <c r="U104" s="37"/>
      <c r="V104" s="37"/>
      <c r="W104" s="37"/>
      <c r="X104" s="37"/>
      <c r="Y104" s="37"/>
      <c r="Z104" s="37"/>
      <c r="AA104" s="37"/>
    </row>
    <row r="105" spans="1:27" x14ac:dyDescent="0.2">
      <c r="A105" s="25" t="s">
        <v>99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315"/>
      <c r="M105" s="315"/>
      <c r="N105" s="315"/>
      <c r="O105" s="315"/>
      <c r="P105" s="315"/>
      <c r="Q105" s="315"/>
      <c r="R105" s="315"/>
      <c r="S105" s="315"/>
      <c r="T105" s="228"/>
      <c r="U105" s="37"/>
      <c r="V105" s="37"/>
      <c r="W105" s="37"/>
      <c r="X105" s="37"/>
      <c r="Y105" s="37"/>
      <c r="Z105" s="37"/>
      <c r="AA105" s="37"/>
    </row>
    <row r="106" spans="1:27" x14ac:dyDescent="0.2">
      <c r="A106" s="27" t="s">
        <v>100</v>
      </c>
      <c r="B106" s="57">
        <f t="shared" ref="B106:L106" si="64">(B45/B$70)</f>
        <v>-2.2097368883092126E-2</v>
      </c>
      <c r="C106" s="57">
        <f t="shared" si="64"/>
        <v>2.6010245861107267E-2</v>
      </c>
      <c r="D106" s="57">
        <f t="shared" si="64"/>
        <v>-1.9083400423412947E-2</v>
      </c>
      <c r="E106" s="57">
        <f t="shared" si="64"/>
        <v>-4.9474435504801455E-2</v>
      </c>
      <c r="F106" s="57">
        <f t="shared" si="64"/>
        <v>3.1272499608702459E-2</v>
      </c>
      <c r="G106" s="57">
        <f t="shared" si="64"/>
        <v>0.11279847808974021</v>
      </c>
      <c r="H106" s="57">
        <f t="shared" si="64"/>
        <v>-7.2984833320501957E-2</v>
      </c>
      <c r="I106" s="57">
        <f t="shared" si="64"/>
        <v>-9.3236261155472053E-2</v>
      </c>
      <c r="J106" s="57">
        <f t="shared" si="64"/>
        <v>1.8897287683414851E-2</v>
      </c>
      <c r="K106" s="57">
        <f t="shared" si="64"/>
        <v>-1.9071124074489566E-2</v>
      </c>
      <c r="L106" s="315">
        <f t="shared" si="64"/>
        <v>8.1227436823104685E-3</v>
      </c>
      <c r="M106" s="315">
        <f t="shared" ref="M106:O107" si="65">(M45/M$70)</f>
        <v>0.14217182730047973</v>
      </c>
      <c r="N106" s="315">
        <f t="shared" si="65"/>
        <v>-0.14092585006145023</v>
      </c>
      <c r="O106" s="315">
        <f t="shared" si="65"/>
        <v>0</v>
      </c>
      <c r="P106" s="315">
        <f t="shared" ref="P106:S107" si="66">(P45/P$70)</f>
        <v>3.8080731150038081E-3</v>
      </c>
      <c r="Q106" s="315">
        <f t="shared" ref="Q106" si="67">(Q45/Q$70)</f>
        <v>0</v>
      </c>
      <c r="R106" s="315">
        <f t="shared" si="66"/>
        <v>4.8067679292443759E-2</v>
      </c>
      <c r="S106" s="315">
        <f t="shared" si="66"/>
        <v>-0.20452771272443404</v>
      </c>
      <c r="T106" s="273">
        <f t="shared" ref="T106:T114" si="68">SUM(M45:R45)/SUM($M$70:$R$70)</f>
        <v>7.7227722772277227E-3</v>
      </c>
      <c r="U106" s="37"/>
      <c r="V106" s="37"/>
      <c r="W106" s="37"/>
      <c r="X106" s="37"/>
      <c r="Y106" s="37"/>
      <c r="Z106" s="37"/>
      <c r="AA106" s="37"/>
    </row>
    <row r="107" spans="1:27" x14ac:dyDescent="0.2">
      <c r="A107" s="27" t="s">
        <v>101</v>
      </c>
      <c r="B107" s="57">
        <f>(B46/B$70)</f>
        <v>0.45448844967267799</v>
      </c>
      <c r="C107" s="57">
        <f>(C46/C$70)</f>
        <v>0.22034535277014064</v>
      </c>
      <c r="D107" s="57">
        <f>(D46/D$70)</f>
        <v>0.23588871992128099</v>
      </c>
      <c r="E107" s="59" t="s">
        <v>76</v>
      </c>
      <c r="F107" s="57">
        <f t="shared" ref="F107:L107" si="69">(F46/F$70)</f>
        <v>0</v>
      </c>
      <c r="G107" s="57">
        <f t="shared" si="69"/>
        <v>0.12962477040146941</v>
      </c>
      <c r="H107" s="57">
        <f t="shared" si="69"/>
        <v>7.5961711191521036E-2</v>
      </c>
      <c r="I107" s="57">
        <f t="shared" si="69"/>
        <v>0.28017848755284169</v>
      </c>
      <c r="J107" s="57">
        <f t="shared" si="69"/>
        <v>0.22521120497999111</v>
      </c>
      <c r="K107" s="57">
        <f t="shared" si="69"/>
        <v>0.22257123625757236</v>
      </c>
      <c r="L107" s="315">
        <f t="shared" si="69"/>
        <v>0</v>
      </c>
      <c r="M107" s="315">
        <f t="shared" si="65"/>
        <v>8.7003924989097259E-2</v>
      </c>
      <c r="N107" s="315">
        <f t="shared" si="65"/>
        <v>0.15342072920934044</v>
      </c>
      <c r="O107" s="315">
        <f t="shared" si="65"/>
        <v>5.7703516611618419E-2</v>
      </c>
      <c r="P107" s="315">
        <f t="shared" si="66"/>
        <v>8.0350342726580357E-2</v>
      </c>
      <c r="Q107" s="315">
        <f t="shared" ref="Q107" si="70">(Q46/Q$70)</f>
        <v>4.7400611620795105E-2</v>
      </c>
      <c r="R107" s="315">
        <f t="shared" si="66"/>
        <v>0</v>
      </c>
      <c r="S107" s="315">
        <f t="shared" si="66"/>
        <v>0</v>
      </c>
      <c r="T107" s="273">
        <f t="shared" si="68"/>
        <v>6.9801980198019808E-2</v>
      </c>
      <c r="U107" s="37"/>
      <c r="V107" s="37"/>
      <c r="W107" s="37"/>
      <c r="X107" s="37"/>
      <c r="Y107" s="37"/>
      <c r="Z107" s="37"/>
      <c r="AA107" s="37"/>
    </row>
    <row r="108" spans="1:27" x14ac:dyDescent="0.2">
      <c r="A108" s="27" t="s">
        <v>102</v>
      </c>
      <c r="B108" s="59" t="s">
        <v>76</v>
      </c>
      <c r="C108" s="59" t="s">
        <v>76</v>
      </c>
      <c r="D108" s="59" t="s">
        <v>76</v>
      </c>
      <c r="E108" s="57">
        <f>(E47/E$70)</f>
        <v>4.8663379185050606E-2</v>
      </c>
      <c r="F108" s="57">
        <f t="shared" ref="F108:L108" si="71">(F47/$H$70)</f>
        <v>0</v>
      </c>
      <c r="G108" s="57">
        <f t="shared" si="71"/>
        <v>0</v>
      </c>
      <c r="H108" s="57">
        <f t="shared" si="71"/>
        <v>0.12438730207611569</v>
      </c>
      <c r="I108" s="57">
        <f t="shared" si="71"/>
        <v>5.1325480534811507E-2</v>
      </c>
      <c r="J108" s="57">
        <f t="shared" si="71"/>
        <v>0.11548233120332589</v>
      </c>
      <c r="K108" s="57">
        <f t="shared" si="71"/>
        <v>3.2078425334257192E-2</v>
      </c>
      <c r="L108" s="315">
        <f t="shared" si="71"/>
        <v>2.5662740267405754E-2</v>
      </c>
      <c r="M108" s="315">
        <f t="shared" ref="M108:S108" si="72">(M47/$H$70)</f>
        <v>0</v>
      </c>
      <c r="N108" s="315">
        <f t="shared" si="72"/>
        <v>0</v>
      </c>
      <c r="O108" s="315">
        <f t="shared" si="72"/>
        <v>0</v>
      </c>
      <c r="P108" s="315">
        <f t="shared" si="72"/>
        <v>0</v>
      </c>
      <c r="Q108" s="315">
        <f t="shared" ref="Q108" si="73">(Q47/$H$70)</f>
        <v>0</v>
      </c>
      <c r="R108" s="315">
        <f t="shared" si="72"/>
        <v>0</v>
      </c>
      <c r="S108" s="315">
        <f t="shared" si="72"/>
        <v>0</v>
      </c>
      <c r="T108" s="273">
        <f t="shared" si="68"/>
        <v>0</v>
      </c>
      <c r="U108" s="37"/>
      <c r="V108" s="37"/>
      <c r="W108" s="37"/>
      <c r="X108" s="37"/>
      <c r="Y108" s="37"/>
      <c r="Z108" s="37"/>
      <c r="AA108" s="37"/>
    </row>
    <row r="109" spans="1:27" x14ac:dyDescent="0.2">
      <c r="A109" s="27" t="s">
        <v>103</v>
      </c>
      <c r="B109" s="57">
        <f>(B48/B$70)</f>
        <v>-6.7596378138403274E-2</v>
      </c>
      <c r="C109" s="57">
        <f>(C48/C$70)</f>
        <v>-6.877385920841822E-2</v>
      </c>
      <c r="D109" s="57">
        <f>(D48/D$70)</f>
        <v>-9.2524674240391222E-2</v>
      </c>
      <c r="E109" s="57">
        <f>(E48/E$70)</f>
        <v>-2.3682844536724629E-3</v>
      </c>
      <c r="F109" s="57">
        <f t="shared" ref="F109:M109" si="74">(F48/F$70)</f>
        <v>-5.1682579433401155E-2</v>
      </c>
      <c r="G109" s="57">
        <f t="shared" si="74"/>
        <v>-6.4090789818945157E-2</v>
      </c>
      <c r="H109" s="57">
        <f t="shared" si="74"/>
        <v>-4.5448713013575594E-2</v>
      </c>
      <c r="I109" s="57">
        <f t="shared" si="74"/>
        <v>-4.6970408642555192E-4</v>
      </c>
      <c r="J109" s="57">
        <f t="shared" si="74"/>
        <v>-4.4464206313917296E-4</v>
      </c>
      <c r="K109" s="57">
        <f t="shared" si="74"/>
        <v>-4.4873233116446041E-4</v>
      </c>
      <c r="L109" s="315">
        <f t="shared" si="74"/>
        <v>-4.512635379061372E-4</v>
      </c>
      <c r="M109" s="315">
        <f t="shared" si="74"/>
        <v>-4.3610989969472308E-4</v>
      </c>
      <c r="N109" s="315">
        <f t="shared" ref="N109:S110" si="75">(N48/N$70)</f>
        <v>-4.0966816878328555E-4</v>
      </c>
      <c r="O109" s="315">
        <f t="shared" si="75"/>
        <v>-3.885758694385079E-4</v>
      </c>
      <c r="P109" s="315">
        <f t="shared" si="75"/>
        <v>0</v>
      </c>
      <c r="Q109" s="315">
        <f t="shared" ref="Q109" si="76">(Q48/Q$70)</f>
        <v>0</v>
      </c>
      <c r="R109" s="315">
        <f t="shared" si="75"/>
        <v>0</v>
      </c>
      <c r="S109" s="315">
        <f t="shared" si="75"/>
        <v>0</v>
      </c>
      <c r="T109" s="273">
        <f t="shared" si="68"/>
        <v>-1.9801980198019803E-4</v>
      </c>
      <c r="U109" s="37"/>
      <c r="V109" s="37"/>
      <c r="W109" s="37"/>
      <c r="X109" s="37"/>
      <c r="Y109" s="37"/>
      <c r="Z109" s="37"/>
      <c r="AA109" s="37"/>
    </row>
    <row r="110" spans="1:27" x14ac:dyDescent="0.2">
      <c r="A110" s="27" t="str">
        <f>A49</f>
        <v xml:space="preserve">     Common Stock Dividends paid</v>
      </c>
      <c r="B110" s="57"/>
      <c r="C110" s="57"/>
      <c r="D110" s="57"/>
      <c r="E110" s="57"/>
      <c r="F110" s="57"/>
      <c r="G110" s="57"/>
      <c r="H110" s="57"/>
      <c r="I110" s="57">
        <f>(I49/I$70)</f>
        <v>0</v>
      </c>
      <c r="J110" s="57">
        <f>(J49/J$70)</f>
        <v>0</v>
      </c>
      <c r="K110" s="57">
        <f>(K49/K$70)</f>
        <v>0</v>
      </c>
      <c r="L110" s="315">
        <f>(L49/L$70)</f>
        <v>0</v>
      </c>
      <c r="M110" s="315">
        <f>(M49/M$70)</f>
        <v>-0.11993022241604885</v>
      </c>
      <c r="N110" s="315">
        <f t="shared" si="75"/>
        <v>-4.0966816878328552E-2</v>
      </c>
      <c r="O110" s="315">
        <f t="shared" si="75"/>
        <v>-9.7143967359626965E-2</v>
      </c>
      <c r="P110" s="315">
        <f t="shared" si="75"/>
        <v>-0.13804265041888805</v>
      </c>
      <c r="Q110" s="315">
        <f t="shared" ref="Q110" si="77">(Q49/Q$70)</f>
        <v>-0.18157492354740062</v>
      </c>
      <c r="R110" s="315">
        <f t="shared" si="75"/>
        <v>-0.16823687752355315</v>
      </c>
      <c r="S110" s="315">
        <f t="shared" si="75"/>
        <v>-7.8064012490242002E-2</v>
      </c>
      <c r="T110" s="273">
        <f t="shared" si="68"/>
        <v>-0.1254125412541254</v>
      </c>
      <c r="U110" s="37"/>
      <c r="V110" s="37"/>
      <c r="W110" s="37"/>
      <c r="X110" s="37"/>
      <c r="Y110" s="37"/>
      <c r="Z110" s="37"/>
      <c r="AA110" s="37"/>
    </row>
    <row r="111" spans="1:27" x14ac:dyDescent="0.2">
      <c r="A111" s="27" t="s">
        <v>104</v>
      </c>
      <c r="B111" s="57">
        <f t="shared" ref="B111:Q111" si="78">(B50/B$70)</f>
        <v>-0.52647420301487369</v>
      </c>
      <c r="C111" s="57">
        <f t="shared" si="78"/>
        <v>-0.35346242854599758</v>
      </c>
      <c r="D111" s="57">
        <f t="shared" si="78"/>
        <v>-1.7592509765333813E-2</v>
      </c>
      <c r="E111" s="57">
        <f t="shared" si="78"/>
        <v>-4.6911497534388787E-2</v>
      </c>
      <c r="F111" s="57">
        <f t="shared" si="78"/>
        <v>-6.076068242291438E-2</v>
      </c>
      <c r="G111" s="57">
        <f t="shared" si="78"/>
        <v>-8.5213854631330355E-2</v>
      </c>
      <c r="H111" s="57">
        <f t="shared" si="78"/>
        <v>-6.9212410501193311E-2</v>
      </c>
      <c r="I111" s="57">
        <f t="shared" si="78"/>
        <v>-2.9826209488022545E-2</v>
      </c>
      <c r="J111" s="57">
        <f t="shared" si="78"/>
        <v>-9.1818586038239211E-2</v>
      </c>
      <c r="K111" s="57">
        <f t="shared" si="78"/>
        <v>-3.2308727843841152E-2</v>
      </c>
      <c r="L111" s="315">
        <f t="shared" si="78"/>
        <v>-3.6101083032490976E-3</v>
      </c>
      <c r="M111" s="315">
        <f t="shared" ref="M111:O114" si="79">(M50/M$70)</f>
        <v>-0.12821631051024859</v>
      </c>
      <c r="N111" s="315">
        <f t="shared" si="79"/>
        <v>-2.0893076607947564E-2</v>
      </c>
      <c r="O111" s="315">
        <f t="shared" si="79"/>
        <v>-5.5177773460268115E-2</v>
      </c>
      <c r="P111" s="315">
        <f t="shared" si="78"/>
        <v>-4.5316070068545315E-2</v>
      </c>
      <c r="Q111" s="315">
        <f t="shared" si="78"/>
        <v>-2.3700305810397553E-2</v>
      </c>
      <c r="R111" s="315">
        <f t="shared" ref="R111:S114" si="80">(R50/R$70)</f>
        <v>-1.3074408767544702E-2</v>
      </c>
      <c r="S111" s="315">
        <f t="shared" si="80"/>
        <v>-3.9812646370023422E-2</v>
      </c>
      <c r="T111" s="273">
        <f t="shared" si="68"/>
        <v>-4.6336633663366336E-2</v>
      </c>
      <c r="U111" s="37"/>
      <c r="V111" s="37"/>
      <c r="W111" s="37"/>
      <c r="X111" s="37"/>
      <c r="Y111" s="37"/>
      <c r="Z111" s="37"/>
      <c r="AA111" s="37"/>
    </row>
    <row r="112" spans="1:27" hidden="1" x14ac:dyDescent="0.2">
      <c r="A112" s="27" t="s">
        <v>105</v>
      </c>
      <c r="B112" s="59" t="s">
        <v>76</v>
      </c>
      <c r="C112" s="59" t="s">
        <v>76</v>
      </c>
      <c r="D112" s="59" t="s">
        <v>76</v>
      </c>
      <c r="E112" s="59" t="s">
        <v>76</v>
      </c>
      <c r="F112" s="57">
        <f t="shared" ref="F112:L114" si="81">(F51/F$70)</f>
        <v>-0.11018938801064329</v>
      </c>
      <c r="G112" s="57">
        <f t="shared" si="81"/>
        <v>0</v>
      </c>
      <c r="H112" s="57">
        <f t="shared" si="81"/>
        <v>0</v>
      </c>
      <c r="I112" s="57">
        <f t="shared" si="81"/>
        <v>0</v>
      </c>
      <c r="J112" s="57">
        <f t="shared" si="81"/>
        <v>0</v>
      </c>
      <c r="K112" s="57">
        <f t="shared" si="81"/>
        <v>0</v>
      </c>
      <c r="L112" s="315">
        <f t="shared" si="81"/>
        <v>0</v>
      </c>
      <c r="M112" s="315">
        <f t="shared" si="79"/>
        <v>0</v>
      </c>
      <c r="N112" s="315">
        <f t="shared" si="79"/>
        <v>0</v>
      </c>
      <c r="O112" s="315">
        <f t="shared" si="79"/>
        <v>0</v>
      </c>
      <c r="P112" s="315">
        <f>(P51/P$70)</f>
        <v>0</v>
      </c>
      <c r="Q112" s="315">
        <f t="shared" ref="Q112" si="82">(Q51/Q$70)</f>
        <v>0</v>
      </c>
      <c r="R112" s="315">
        <f t="shared" si="80"/>
        <v>0</v>
      </c>
      <c r="S112" s="315">
        <f t="shared" si="80"/>
        <v>0</v>
      </c>
      <c r="T112" s="273">
        <f t="shared" si="68"/>
        <v>0</v>
      </c>
      <c r="U112" s="37"/>
      <c r="V112" s="37"/>
      <c r="W112" s="37"/>
      <c r="X112" s="37"/>
      <c r="Y112" s="37"/>
      <c r="Z112" s="37"/>
      <c r="AA112" s="37"/>
    </row>
    <row r="113" spans="1:27" x14ac:dyDescent="0.2">
      <c r="A113" s="27" t="s">
        <v>106</v>
      </c>
      <c r="B113" s="57">
        <f>(B52/B$70)</f>
        <v>-6.5464395896561237E-3</v>
      </c>
      <c r="C113" s="59" t="s">
        <v>76</v>
      </c>
      <c r="D113" s="59" t="s">
        <v>76</v>
      </c>
      <c r="E113" s="57">
        <f>(E52/E$70)</f>
        <v>-2.4331689592525306E-3</v>
      </c>
      <c r="F113" s="57">
        <f t="shared" si="81"/>
        <v>-2.3477852559085927E-3</v>
      </c>
      <c r="G113" s="57">
        <f t="shared" si="81"/>
        <v>-2.459984256100761E-3</v>
      </c>
      <c r="H113" s="57">
        <f t="shared" si="81"/>
        <v>-1.9247055200554315E-3</v>
      </c>
      <c r="I113" s="57">
        <f t="shared" si="81"/>
        <v>-8.9243776420854862E-3</v>
      </c>
      <c r="J113" s="57">
        <f t="shared" si="81"/>
        <v>0</v>
      </c>
      <c r="K113" s="57">
        <f t="shared" si="81"/>
        <v>0</v>
      </c>
      <c r="L113" s="315">
        <f t="shared" si="81"/>
        <v>0</v>
      </c>
      <c r="M113" s="315">
        <f t="shared" si="79"/>
        <v>0</v>
      </c>
      <c r="N113" s="315">
        <f t="shared" si="79"/>
        <v>0</v>
      </c>
      <c r="O113" s="315">
        <f t="shared" si="79"/>
        <v>-7.771517388770157E-3</v>
      </c>
      <c r="P113" s="315">
        <f>(P52/P$70)</f>
        <v>0</v>
      </c>
      <c r="Q113" s="315">
        <f t="shared" ref="Q113" si="83">(Q52/Q$70)</f>
        <v>0</v>
      </c>
      <c r="R113" s="315">
        <f t="shared" si="80"/>
        <v>0</v>
      </c>
      <c r="S113" s="315">
        <f t="shared" si="80"/>
        <v>0</v>
      </c>
      <c r="T113" s="273">
        <f t="shared" si="68"/>
        <v>-1.3201320132013201E-3</v>
      </c>
      <c r="U113" s="37"/>
      <c r="V113" s="37"/>
      <c r="W113" s="37"/>
      <c r="X113" s="37"/>
      <c r="Y113" s="37"/>
      <c r="Z113" s="37"/>
      <c r="AA113" s="37"/>
    </row>
    <row r="114" spans="1:27" x14ac:dyDescent="0.2">
      <c r="A114" s="27" t="s">
        <v>97</v>
      </c>
      <c r="B114" s="57">
        <f>(B53/B$70)</f>
        <v>1.755750081516968E-3</v>
      </c>
      <c r="C114" s="57">
        <f>(C53/C$70)</f>
        <v>-4.153727475918271E-4</v>
      </c>
      <c r="D114" s="57">
        <f>(D53/D$70)</f>
        <v>-4.0254047768136687E-3</v>
      </c>
      <c r="E114" s="59" t="s">
        <v>76</v>
      </c>
      <c r="F114" s="57">
        <f t="shared" si="81"/>
        <v>-9.3911410236343718E-5</v>
      </c>
      <c r="G114" s="57">
        <f t="shared" si="81"/>
        <v>0</v>
      </c>
      <c r="H114" s="57">
        <f t="shared" si="81"/>
        <v>2.0016937408576488E-3</v>
      </c>
      <c r="I114" s="57">
        <f t="shared" si="81"/>
        <v>3.0530765617660873E-3</v>
      </c>
      <c r="J114" s="57">
        <f t="shared" si="81"/>
        <v>-4.8465984882169855E-2</v>
      </c>
      <c r="K114" s="57">
        <f t="shared" si="81"/>
        <v>-4.4873233116446039E-3</v>
      </c>
      <c r="L114" s="315">
        <f t="shared" si="81"/>
        <v>-2.256317689530686E-4</v>
      </c>
      <c r="M114" s="315">
        <f t="shared" si="79"/>
        <v>-4.3610989969472308E-4</v>
      </c>
      <c r="N114" s="315">
        <f t="shared" si="79"/>
        <v>-1.8435067595247848E-3</v>
      </c>
      <c r="O114" s="315">
        <f t="shared" si="79"/>
        <v>-3.885758694385079E-4</v>
      </c>
      <c r="P114" s="315">
        <f>(P53/P$70)</f>
        <v>0</v>
      </c>
      <c r="Q114" s="315">
        <f t="shared" ref="Q114" si="84">(Q53/Q$70)</f>
        <v>-1.9113149847094801E-4</v>
      </c>
      <c r="R114" s="315">
        <f t="shared" si="80"/>
        <v>-1.9227071716977504E-4</v>
      </c>
      <c r="S114" s="315">
        <f t="shared" si="80"/>
        <v>0</v>
      </c>
      <c r="T114" s="273">
        <f t="shared" si="68"/>
        <v>-4.9504950495049506E-4</v>
      </c>
      <c r="U114" s="37"/>
      <c r="V114" s="37"/>
      <c r="W114" s="37"/>
      <c r="X114" s="37"/>
      <c r="Y114" s="37"/>
      <c r="Z114" s="37"/>
      <c r="AA114" s="37"/>
    </row>
    <row r="115" spans="1:27" ht="7.5" customHeight="1" x14ac:dyDescent="0.2">
      <c r="A115" s="2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315"/>
      <c r="M115" s="315"/>
      <c r="N115" s="315"/>
      <c r="O115" s="315"/>
      <c r="P115" s="315"/>
      <c r="Q115" s="315"/>
      <c r="R115" s="315"/>
      <c r="S115" s="315"/>
      <c r="T115" s="228"/>
      <c r="U115" s="37"/>
      <c r="V115" s="37"/>
      <c r="W115" s="37"/>
      <c r="X115" s="37"/>
      <c r="Y115" s="37"/>
      <c r="Z115" s="37"/>
      <c r="AA115" s="37"/>
    </row>
    <row r="116" spans="1:27" x14ac:dyDescent="0.2">
      <c r="A116" s="211" t="s">
        <v>107</v>
      </c>
      <c r="B116" s="219">
        <f t="shared" ref="B116:L116" si="85">(B55/B$70)</f>
        <v>-0.16647018987183027</v>
      </c>
      <c r="C116" s="219">
        <f t="shared" si="85"/>
        <v>-0.17629606187075975</v>
      </c>
      <c r="D116" s="219">
        <f t="shared" si="85"/>
        <v>7.2844917553746613E-2</v>
      </c>
      <c r="E116" s="219">
        <f t="shared" si="85"/>
        <v>-5.2524007267064625E-2</v>
      </c>
      <c r="F116" s="219">
        <f t="shared" si="85"/>
        <v>-6.9619658788542815E-2</v>
      </c>
      <c r="G116" s="219">
        <f t="shared" si="85"/>
        <v>9.0658619784833361E-2</v>
      </c>
      <c r="H116" s="219">
        <f t="shared" si="85"/>
        <v>1.2780044653168079E-2</v>
      </c>
      <c r="I116" s="219">
        <f t="shared" si="85"/>
        <v>0.19774542038515736</v>
      </c>
      <c r="J116" s="219">
        <f t="shared" si="85"/>
        <v>0.20342374388617163</v>
      </c>
      <c r="K116" s="219">
        <f t="shared" si="85"/>
        <v>0.19430109939421136</v>
      </c>
      <c r="L116" s="317">
        <f t="shared" si="85"/>
        <v>2.6398916967509026E-2</v>
      </c>
      <c r="M116" s="317">
        <f t="shared" ref="M116:O119" si="86">(M55/M$70)</f>
        <v>-1.9843000436109901E-2</v>
      </c>
      <c r="N116" s="317">
        <f t="shared" si="86"/>
        <v>-5.1618189266693981E-2</v>
      </c>
      <c r="O116" s="317">
        <f t="shared" si="86"/>
        <v>-0.10316689333592384</v>
      </c>
      <c r="P116" s="317">
        <f t="shared" ref="P116:R119" si="87">(P55/P$70)</f>
        <v>-9.9200304645849197E-2</v>
      </c>
      <c r="Q116" s="317">
        <f t="shared" ref="Q116" si="88">(Q55/Q$70)</f>
        <v>-0.15806574923547401</v>
      </c>
      <c r="R116" s="317">
        <f t="shared" si="87"/>
        <v>-0.13343587771582388</v>
      </c>
      <c r="S116" s="317">
        <f>(S55/S$70)</f>
        <v>-0.32240437158469948</v>
      </c>
      <c r="T116" s="319">
        <f>SUM(M55:R55)/SUM($M$70:$R$70)</f>
        <v>-9.623762376237624E-2</v>
      </c>
      <c r="U116" s="37"/>
      <c r="V116" s="37"/>
      <c r="W116" s="37"/>
      <c r="X116" s="37"/>
      <c r="Y116" s="37"/>
      <c r="Z116" s="37"/>
      <c r="AA116" s="37"/>
    </row>
    <row r="117" spans="1:27" x14ac:dyDescent="0.2">
      <c r="A117" s="211" t="s">
        <v>108</v>
      </c>
      <c r="B117" s="219">
        <f t="shared" ref="B117:L117" si="89">(B56/B$70)</f>
        <v>-6.5715217336777945E-2</v>
      </c>
      <c r="C117" s="219">
        <f t="shared" si="89"/>
        <v>-2.9273888877900554E-3</v>
      </c>
      <c r="D117" s="219">
        <f t="shared" si="89"/>
        <v>5.5162954348928223E-3</v>
      </c>
      <c r="E117" s="219">
        <f t="shared" si="89"/>
        <v>-1.7518816506618606E-3</v>
      </c>
      <c r="F117" s="219">
        <f t="shared" si="89"/>
        <v>-2.9425575207387786E-2</v>
      </c>
      <c r="G117" s="219">
        <f t="shared" si="89"/>
        <v>4.6182104434531621E-2</v>
      </c>
      <c r="H117" s="219">
        <f t="shared" si="89"/>
        <v>-2.0453203993122386E-2</v>
      </c>
      <c r="I117" s="219">
        <f t="shared" si="89"/>
        <v>3.9689995302959136E-2</v>
      </c>
      <c r="J117" s="219">
        <f t="shared" si="89"/>
        <v>-3.7572254335260118E-2</v>
      </c>
      <c r="K117" s="219">
        <f t="shared" si="89"/>
        <v>1.3013237603769351E-2</v>
      </c>
      <c r="L117" s="317">
        <f t="shared" si="89"/>
        <v>-1.9404332129963901E-2</v>
      </c>
      <c r="M117" s="317">
        <f t="shared" si="86"/>
        <v>3.4888791975577847E-3</v>
      </c>
      <c r="N117" s="317">
        <f t="shared" si="86"/>
        <v>6.759524784924211E-3</v>
      </c>
      <c r="O117" s="317">
        <f t="shared" si="86"/>
        <v>-5.2457742374198563E-3</v>
      </c>
      <c r="P117" s="317">
        <f t="shared" si="87"/>
        <v>-5.7121096725057125E-3</v>
      </c>
      <c r="Q117" s="317">
        <f t="shared" ref="Q117" si="90">(Q56/Q$70)</f>
        <v>-2.102446483180428E-3</v>
      </c>
      <c r="R117" s="317">
        <f t="shared" si="87"/>
        <v>9.6135358584887524E-4</v>
      </c>
      <c r="S117" s="317">
        <f>(S56/S$70)</f>
        <v>-1.56128024980484E-3</v>
      </c>
      <c r="T117" s="319">
        <f>SUM(M56:R56)/SUM($M$70:$R$70)</f>
        <v>-4.6204620462046204E-4</v>
      </c>
      <c r="U117" s="37"/>
      <c r="V117" s="37"/>
      <c r="W117" s="37"/>
      <c r="X117" s="37"/>
      <c r="Y117" s="37"/>
      <c r="Z117" s="37"/>
      <c r="AA117" s="37"/>
    </row>
    <row r="118" spans="1:27" x14ac:dyDescent="0.2">
      <c r="A118" s="30" t="s">
        <v>109</v>
      </c>
      <c r="B118" s="70">
        <f t="shared" ref="B118:L118" si="91">(B57/B$70)</f>
        <v>0.10439188341819458</v>
      </c>
      <c r="C118" s="70">
        <f t="shared" si="91"/>
        <v>3.0500227466028443E-2</v>
      </c>
      <c r="D118" s="70">
        <f t="shared" si="91"/>
        <v>4.1566031547246328E-2</v>
      </c>
      <c r="E118" s="70">
        <f t="shared" si="91"/>
        <v>5.1226317155463275E-2</v>
      </c>
      <c r="F118" s="70">
        <f t="shared" si="91"/>
        <v>4.7738300203474721E-2</v>
      </c>
      <c r="G118" s="70">
        <f t="shared" si="91"/>
        <v>1.9187877197585804E-2</v>
      </c>
      <c r="H118" s="70">
        <f t="shared" si="91"/>
        <v>5.1145841352939675E-2</v>
      </c>
      <c r="I118" s="70">
        <f t="shared" si="91"/>
        <v>1.3856270549553781E-2</v>
      </c>
      <c r="J118" s="70">
        <f t="shared" si="91"/>
        <v>5.0689195197865716E-2</v>
      </c>
      <c r="K118" s="70">
        <f t="shared" si="91"/>
        <v>1.3237603769351581E-2</v>
      </c>
      <c r="L118" s="318">
        <f t="shared" si="91"/>
        <v>2.6398916967509026E-2</v>
      </c>
      <c r="M118" s="318">
        <f t="shared" si="86"/>
        <v>6.7597034452682074E-3</v>
      </c>
      <c r="N118" s="318">
        <f t="shared" si="86"/>
        <v>9.6272019664072096E-3</v>
      </c>
      <c r="O118" s="318">
        <f t="shared" si="86"/>
        <v>1.5543034777540314E-2</v>
      </c>
      <c r="P118" s="318">
        <f t="shared" si="87"/>
        <v>1.0091393754760092E-2</v>
      </c>
      <c r="Q118" s="318">
        <f t="shared" ref="Q118" si="92">(Q57/Q$70)</f>
        <v>4.3960244648318042E-3</v>
      </c>
      <c r="R118" s="318">
        <f t="shared" si="87"/>
        <v>2.3072486060373007E-3</v>
      </c>
      <c r="S118" s="318">
        <f>(S57/S$70)</f>
        <v>1.3270882123341141E-2</v>
      </c>
      <c r="T118" s="320">
        <f>SUM(M57:R57)/SUM($M$70:$R$70)</f>
        <v>8.1188118811881191E-3</v>
      </c>
      <c r="U118" s="37"/>
      <c r="V118" s="37"/>
      <c r="W118" s="37"/>
      <c r="X118" s="37"/>
      <c r="Y118" s="37"/>
      <c r="Z118" s="37"/>
      <c r="AA118" s="37"/>
    </row>
    <row r="119" spans="1:27" x14ac:dyDescent="0.2">
      <c r="A119" s="30" t="s">
        <v>110</v>
      </c>
      <c r="B119" s="70">
        <f t="shared" ref="B119:L119" si="93">(B58/B$70)</f>
        <v>3.8676666081416636E-2</v>
      </c>
      <c r="C119" s="70">
        <f t="shared" si="93"/>
        <v>2.7572838578238425E-2</v>
      </c>
      <c r="D119" s="70">
        <f t="shared" si="93"/>
        <v>4.7082326982139135E-2</v>
      </c>
      <c r="E119" s="70">
        <f t="shared" si="93"/>
        <v>4.9474435504801455E-2</v>
      </c>
      <c r="F119" s="70">
        <f t="shared" si="93"/>
        <v>1.8312724996086899E-2</v>
      </c>
      <c r="G119" s="70">
        <f t="shared" si="93"/>
        <v>6.536998163211756E-2</v>
      </c>
      <c r="H119" s="70">
        <f t="shared" si="93"/>
        <v>3.0692637359817285E-2</v>
      </c>
      <c r="I119" s="70">
        <f t="shared" si="93"/>
        <v>5.3546265852512917E-2</v>
      </c>
      <c r="J119" s="70">
        <f t="shared" si="93"/>
        <v>1.3116940862605602E-2</v>
      </c>
      <c r="K119" s="70">
        <f t="shared" si="93"/>
        <v>2.6250841373120934E-2</v>
      </c>
      <c r="L119" s="318">
        <f t="shared" si="93"/>
        <v>6.994584837545126E-3</v>
      </c>
      <c r="M119" s="318">
        <f t="shared" si="86"/>
        <v>1.0248582642825993E-2</v>
      </c>
      <c r="N119" s="318">
        <f t="shared" si="86"/>
        <v>1.6386726751331421E-2</v>
      </c>
      <c r="O119" s="318">
        <f t="shared" si="86"/>
        <v>1.0297260540120458E-2</v>
      </c>
      <c r="P119" s="318">
        <f t="shared" si="87"/>
        <v>4.3792840822543793E-3</v>
      </c>
      <c r="Q119" s="318">
        <f t="shared" ref="Q119" si="94">(Q58/Q$70)</f>
        <v>2.2935779816513763E-3</v>
      </c>
      <c r="R119" s="318">
        <f t="shared" si="87"/>
        <v>3.2686021918861756E-3</v>
      </c>
      <c r="S119" s="318">
        <f>(S58/S$70)</f>
        <v>1.1709601873536301E-2</v>
      </c>
      <c r="T119" s="320">
        <f>SUM(M58:R58)/SUM($M$70:$R$70)</f>
        <v>7.6567656765676563E-3</v>
      </c>
      <c r="U119" s="37"/>
      <c r="V119" s="37"/>
      <c r="W119" s="37"/>
      <c r="X119" s="37"/>
      <c r="Y119" s="37"/>
      <c r="Z119" s="37"/>
      <c r="AA119" s="37"/>
    </row>
    <row r="120" spans="1:27" x14ac:dyDescent="0.2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306"/>
      <c r="M120" s="306"/>
      <c r="N120" s="306"/>
      <c r="O120" s="306"/>
      <c r="P120" s="306"/>
      <c r="Q120" s="306"/>
      <c r="R120" s="306"/>
      <c r="S120" s="306"/>
      <c r="T120" s="292"/>
      <c r="U120" s="37"/>
      <c r="V120" s="37"/>
      <c r="W120" s="37"/>
      <c r="X120" s="37"/>
      <c r="Y120" s="37"/>
      <c r="Z120" s="37"/>
      <c r="AA120" s="37"/>
    </row>
    <row r="121" spans="1:27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305"/>
      <c r="M121" s="305"/>
      <c r="N121" s="305"/>
      <c r="O121" s="305"/>
      <c r="P121" s="305"/>
      <c r="Q121" s="305"/>
      <c r="R121" s="305"/>
      <c r="S121" s="305"/>
      <c r="T121" s="37"/>
      <c r="U121" s="37"/>
      <c r="V121" s="37"/>
      <c r="W121" s="37"/>
      <c r="X121" s="37"/>
      <c r="Y121" s="37"/>
      <c r="Z121" s="37"/>
      <c r="AA121" s="37"/>
    </row>
    <row r="122" spans="1:27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305"/>
      <c r="M122" s="305"/>
      <c r="N122" s="305"/>
      <c r="O122" s="305"/>
      <c r="P122" s="305"/>
      <c r="Q122" s="305"/>
      <c r="R122" s="305"/>
      <c r="S122" s="305"/>
      <c r="T122" s="37"/>
      <c r="U122" s="37"/>
      <c r="V122" s="37"/>
      <c r="W122" s="37"/>
      <c r="X122" s="37"/>
      <c r="Y122" s="37"/>
      <c r="Z122" s="37"/>
      <c r="AA122" s="37"/>
    </row>
    <row r="123" spans="1:27" x14ac:dyDescent="0.2">
      <c r="B123" s="37"/>
      <c r="C123" s="37"/>
      <c r="D123" s="37"/>
      <c r="E123" s="37"/>
      <c r="F123" s="38"/>
      <c r="G123" s="37"/>
      <c r="H123" s="37"/>
      <c r="I123" s="37"/>
      <c r="J123" s="37"/>
      <c r="K123" s="37"/>
      <c r="L123" s="304"/>
      <c r="M123" s="304"/>
      <c r="N123" s="304"/>
      <c r="O123" s="304"/>
      <c r="P123" s="304"/>
      <c r="Q123" s="304"/>
      <c r="R123" s="304"/>
      <c r="S123" s="304"/>
      <c r="T123" s="37"/>
      <c r="U123" s="37"/>
      <c r="V123" s="37"/>
      <c r="W123" s="37"/>
      <c r="X123" s="37"/>
      <c r="Y123" s="37"/>
      <c r="Z123" s="37"/>
      <c r="AA123" s="37"/>
    </row>
    <row r="124" spans="1:27" x14ac:dyDescent="0.2">
      <c r="B124" s="37"/>
      <c r="C124" s="37"/>
      <c r="D124" s="37"/>
      <c r="E124" s="37"/>
      <c r="F124" s="38"/>
      <c r="G124" s="37"/>
      <c r="H124" s="37"/>
      <c r="I124" s="37"/>
      <c r="J124" s="37"/>
      <c r="K124" s="37"/>
      <c r="L124" s="304"/>
      <c r="M124" s="304"/>
      <c r="N124" s="304"/>
      <c r="O124" s="304"/>
      <c r="P124" s="304"/>
      <c r="Q124" s="304"/>
      <c r="R124" s="304"/>
      <c r="S124" s="304"/>
      <c r="T124" s="37"/>
      <c r="U124" s="37"/>
      <c r="V124" s="37"/>
      <c r="W124" s="37"/>
      <c r="X124" s="37"/>
      <c r="Y124" s="37"/>
      <c r="Z124" s="37"/>
      <c r="AA124" s="37"/>
    </row>
    <row r="125" spans="1:27" x14ac:dyDescent="0.2">
      <c r="B125" s="37"/>
      <c r="C125" s="37"/>
      <c r="D125" s="37"/>
      <c r="E125" s="37"/>
      <c r="F125" s="38"/>
      <c r="G125" s="37"/>
      <c r="H125" s="37"/>
      <c r="I125" s="37"/>
      <c r="J125" s="37"/>
      <c r="K125" s="37"/>
      <c r="L125" s="304"/>
      <c r="M125" s="304"/>
      <c r="N125" s="304"/>
      <c r="O125" s="304"/>
      <c r="P125" s="304"/>
      <c r="Q125" s="304"/>
      <c r="R125" s="304"/>
      <c r="S125" s="304"/>
      <c r="T125" s="37"/>
      <c r="U125" s="37"/>
      <c r="V125" s="37"/>
      <c r="W125" s="37"/>
      <c r="X125" s="37"/>
      <c r="Y125" s="37"/>
      <c r="Z125" s="37"/>
      <c r="AA125" s="37"/>
    </row>
    <row r="126" spans="1:27" x14ac:dyDescent="0.2">
      <c r="B126" s="37"/>
      <c r="C126" s="37"/>
      <c r="D126" s="37"/>
      <c r="E126" s="37"/>
      <c r="F126" s="38"/>
      <c r="G126" s="37"/>
      <c r="H126" s="37"/>
      <c r="I126" s="37"/>
      <c r="J126" s="37"/>
      <c r="K126" s="37"/>
      <c r="L126" s="304"/>
      <c r="M126" s="304"/>
      <c r="N126" s="304"/>
      <c r="O126" s="304"/>
      <c r="P126" s="304"/>
      <c r="Q126" s="304"/>
      <c r="R126" s="304"/>
      <c r="S126" s="304"/>
      <c r="T126" s="37"/>
      <c r="U126" s="37"/>
      <c r="V126" s="37"/>
      <c r="W126" s="37"/>
      <c r="X126" s="37"/>
      <c r="Y126" s="37"/>
      <c r="Z126" s="37"/>
      <c r="AA126" s="37"/>
    </row>
    <row r="127" spans="1:27" x14ac:dyDescent="0.2">
      <c r="B127" s="37"/>
      <c r="C127" s="37"/>
      <c r="D127" s="37"/>
      <c r="E127" s="37"/>
      <c r="F127" s="38"/>
      <c r="G127" s="37"/>
      <c r="H127" s="37"/>
      <c r="I127" s="37"/>
      <c r="J127" s="37"/>
      <c r="K127" s="37"/>
      <c r="L127" s="304"/>
      <c r="M127" s="304"/>
      <c r="N127" s="304"/>
      <c r="O127" s="304"/>
      <c r="P127" s="304"/>
      <c r="Q127" s="304"/>
      <c r="R127" s="304"/>
      <c r="S127" s="304"/>
      <c r="T127" s="37"/>
      <c r="U127" s="37"/>
      <c r="V127" s="37"/>
      <c r="W127" s="37"/>
      <c r="X127" s="37"/>
      <c r="Y127" s="37"/>
      <c r="Z127" s="37"/>
      <c r="AA127" s="37"/>
    </row>
    <row r="128" spans="1:27" x14ac:dyDescent="0.2">
      <c r="B128" s="37"/>
      <c r="C128" s="37"/>
      <c r="D128" s="37"/>
      <c r="E128" s="37"/>
      <c r="F128" s="38"/>
      <c r="G128" s="37"/>
      <c r="H128" s="37"/>
      <c r="I128" s="37"/>
      <c r="J128" s="37"/>
      <c r="K128" s="37"/>
      <c r="L128" s="304"/>
      <c r="M128" s="304"/>
      <c r="N128" s="304"/>
      <c r="O128" s="304"/>
      <c r="P128" s="304"/>
      <c r="Q128" s="304"/>
      <c r="R128" s="304"/>
      <c r="S128" s="304"/>
      <c r="T128" s="37"/>
      <c r="U128" s="37"/>
      <c r="V128" s="37"/>
      <c r="W128" s="37"/>
      <c r="X128" s="37"/>
      <c r="Y128" s="37"/>
      <c r="Z128" s="37"/>
      <c r="AA128" s="37"/>
    </row>
    <row r="129" spans="2:27" x14ac:dyDescent="0.2">
      <c r="B129" s="37"/>
      <c r="C129" s="37"/>
      <c r="D129" s="37"/>
      <c r="E129" s="37"/>
      <c r="F129" s="38"/>
      <c r="G129" s="37"/>
      <c r="H129" s="37"/>
      <c r="I129" s="37"/>
      <c r="J129" s="37"/>
      <c r="K129" s="37"/>
      <c r="L129" s="304"/>
      <c r="M129" s="304"/>
      <c r="N129" s="304"/>
      <c r="O129" s="304"/>
      <c r="P129" s="304"/>
      <c r="Q129" s="304"/>
      <c r="R129" s="304"/>
      <c r="S129" s="304"/>
      <c r="T129" s="37"/>
      <c r="U129" s="37"/>
      <c r="V129" s="37"/>
      <c r="W129" s="37"/>
      <c r="X129" s="37"/>
      <c r="Y129" s="37"/>
      <c r="Z129" s="37"/>
      <c r="AA129" s="37"/>
    </row>
    <row r="130" spans="2:27" x14ac:dyDescent="0.2">
      <c r="B130" s="37"/>
      <c r="C130" s="37"/>
      <c r="D130" s="37"/>
      <c r="E130" s="37"/>
      <c r="F130" s="38"/>
      <c r="G130" s="37"/>
      <c r="H130" s="37"/>
      <c r="I130" s="37"/>
      <c r="J130" s="37"/>
      <c r="K130" s="37"/>
      <c r="L130" s="304"/>
      <c r="M130" s="304"/>
      <c r="N130" s="304"/>
      <c r="O130" s="304"/>
      <c r="P130" s="304"/>
      <c r="Q130" s="304"/>
      <c r="R130" s="304"/>
      <c r="S130" s="304"/>
      <c r="T130" s="37"/>
      <c r="U130" s="37"/>
      <c r="V130" s="37"/>
      <c r="W130" s="37"/>
      <c r="X130" s="37"/>
      <c r="Y130" s="37"/>
      <c r="Z130" s="37"/>
      <c r="AA130" s="37"/>
    </row>
    <row r="131" spans="2:27" x14ac:dyDescent="0.2">
      <c r="B131" s="37"/>
      <c r="C131" s="37"/>
      <c r="D131" s="37"/>
      <c r="E131" s="37"/>
      <c r="F131" s="38"/>
      <c r="G131" s="37"/>
      <c r="H131" s="37"/>
      <c r="I131" s="37"/>
      <c r="J131" s="37"/>
      <c r="K131" s="37"/>
      <c r="L131" s="304"/>
      <c r="M131" s="304"/>
      <c r="N131" s="304"/>
      <c r="O131" s="304"/>
      <c r="P131" s="304"/>
      <c r="Q131" s="304"/>
      <c r="R131" s="304"/>
      <c r="S131" s="304"/>
      <c r="T131" s="37"/>
      <c r="U131" s="37"/>
      <c r="V131" s="37"/>
      <c r="W131" s="37"/>
      <c r="X131" s="37"/>
      <c r="Y131" s="37"/>
      <c r="Z131" s="37"/>
      <c r="AA131" s="37"/>
    </row>
    <row r="132" spans="2:27" x14ac:dyDescent="0.2">
      <c r="B132" s="37"/>
      <c r="C132" s="37"/>
      <c r="D132" s="37"/>
      <c r="E132" s="37"/>
      <c r="F132" s="38"/>
      <c r="G132" s="37"/>
      <c r="H132" s="37"/>
      <c r="I132" s="37"/>
      <c r="J132" s="37"/>
      <c r="K132" s="37"/>
      <c r="L132" s="304"/>
      <c r="M132" s="304"/>
      <c r="N132" s="304"/>
      <c r="O132" s="304"/>
      <c r="P132" s="304"/>
      <c r="Q132" s="304"/>
      <c r="R132" s="304"/>
      <c r="S132" s="304"/>
      <c r="T132" s="37"/>
      <c r="U132" s="37"/>
      <c r="V132" s="37"/>
      <c r="W132" s="37"/>
      <c r="X132" s="37"/>
      <c r="Y132" s="37"/>
      <c r="Z132" s="37"/>
      <c r="AA132" s="37"/>
    </row>
    <row r="133" spans="2:27" x14ac:dyDescent="0.2">
      <c r="B133" s="37"/>
      <c r="C133" s="37"/>
      <c r="D133" s="37"/>
      <c r="E133" s="37"/>
      <c r="F133" s="38"/>
      <c r="G133" s="37"/>
      <c r="H133" s="37"/>
      <c r="I133" s="37"/>
      <c r="J133" s="37"/>
      <c r="K133" s="37"/>
      <c r="L133" s="304"/>
      <c r="M133" s="304"/>
      <c r="N133" s="304"/>
      <c r="O133" s="304"/>
      <c r="P133" s="304"/>
      <c r="Q133" s="304"/>
      <c r="R133" s="304"/>
      <c r="S133" s="304"/>
      <c r="T133" s="37"/>
      <c r="U133" s="37"/>
      <c r="V133" s="37"/>
      <c r="W133" s="37"/>
      <c r="X133" s="37"/>
      <c r="Y133" s="37"/>
      <c r="Z133" s="37"/>
      <c r="AA133" s="37"/>
    </row>
    <row r="134" spans="2:27" x14ac:dyDescent="0.2">
      <c r="B134" s="37"/>
      <c r="C134" s="37"/>
      <c r="D134" s="37"/>
      <c r="E134" s="37"/>
      <c r="F134" s="38"/>
      <c r="G134" s="37"/>
      <c r="H134" s="37"/>
      <c r="I134" s="37"/>
      <c r="J134" s="37"/>
      <c r="K134" s="37"/>
      <c r="L134" s="304"/>
      <c r="M134" s="304"/>
      <c r="N134" s="304"/>
      <c r="O134" s="304"/>
      <c r="P134" s="304"/>
      <c r="Q134" s="304"/>
      <c r="R134" s="304"/>
      <c r="S134" s="304"/>
      <c r="T134" s="37"/>
      <c r="U134" s="37"/>
      <c r="V134" s="37"/>
      <c r="W134" s="37"/>
      <c r="X134" s="37"/>
      <c r="Y134" s="37"/>
      <c r="Z134" s="37"/>
      <c r="AA134" s="37"/>
    </row>
    <row r="135" spans="2:27" x14ac:dyDescent="0.2">
      <c r="B135" s="37"/>
      <c r="C135" s="37"/>
      <c r="D135" s="37"/>
      <c r="E135" s="37"/>
      <c r="F135" s="38"/>
      <c r="G135" s="37"/>
      <c r="H135" s="37"/>
      <c r="I135" s="37"/>
      <c r="J135" s="37"/>
      <c r="K135" s="37"/>
      <c r="L135" s="304"/>
      <c r="M135" s="304"/>
      <c r="N135" s="304"/>
      <c r="O135" s="304"/>
      <c r="P135" s="304"/>
      <c r="Q135" s="304"/>
      <c r="R135" s="304"/>
      <c r="S135" s="304"/>
      <c r="T135" s="37"/>
      <c r="U135" s="37"/>
      <c r="V135" s="37"/>
      <c r="W135" s="37"/>
      <c r="X135" s="37"/>
      <c r="Y135" s="37"/>
      <c r="Z135" s="37"/>
      <c r="AA135" s="37"/>
    </row>
    <row r="136" spans="2:27" x14ac:dyDescent="0.2"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04"/>
      <c r="M136" s="304"/>
      <c r="N136" s="304"/>
      <c r="O136" s="304"/>
      <c r="P136" s="304"/>
      <c r="Q136" s="304"/>
      <c r="R136" s="304"/>
      <c r="S136" s="304"/>
      <c r="T136" s="37"/>
      <c r="U136" s="37"/>
      <c r="V136" s="37"/>
      <c r="W136" s="37"/>
      <c r="X136" s="37"/>
      <c r="Y136" s="37"/>
      <c r="Z136" s="37"/>
      <c r="AA136" s="37"/>
    </row>
    <row r="137" spans="2:27" x14ac:dyDescent="0.2">
      <c r="B137" s="37"/>
      <c r="C137" s="37"/>
      <c r="D137" s="37"/>
      <c r="E137" s="37"/>
      <c r="F137" s="38"/>
      <c r="G137" s="37"/>
      <c r="H137" s="37"/>
      <c r="I137" s="37"/>
      <c r="J137" s="37"/>
      <c r="K137" s="37"/>
      <c r="L137" s="304"/>
      <c r="M137" s="304"/>
      <c r="N137" s="304"/>
      <c r="O137" s="304"/>
      <c r="P137" s="304"/>
      <c r="Q137" s="304"/>
      <c r="R137" s="304"/>
      <c r="S137" s="304"/>
      <c r="T137" s="37"/>
      <c r="U137" s="37"/>
      <c r="V137" s="37"/>
      <c r="W137" s="37"/>
      <c r="X137" s="37"/>
      <c r="Y137" s="37"/>
      <c r="Z137" s="37"/>
      <c r="AA137" s="37"/>
    </row>
    <row r="138" spans="2:27" x14ac:dyDescent="0.2">
      <c r="B138" s="37"/>
      <c r="C138" s="37"/>
      <c r="D138" s="37"/>
      <c r="E138" s="37"/>
      <c r="F138" s="38"/>
      <c r="G138" s="37"/>
      <c r="H138" s="37"/>
      <c r="I138" s="37"/>
      <c r="J138" s="37"/>
      <c r="K138" s="37"/>
      <c r="L138" s="304"/>
      <c r="M138" s="304"/>
      <c r="N138" s="304"/>
      <c r="O138" s="304"/>
      <c r="P138" s="304"/>
      <c r="Q138" s="304"/>
      <c r="R138" s="304"/>
      <c r="S138" s="304"/>
      <c r="T138" s="37"/>
      <c r="U138" s="37"/>
      <c r="V138" s="37"/>
      <c r="W138" s="37"/>
      <c r="X138" s="37"/>
      <c r="Y138" s="37"/>
      <c r="Z138" s="37"/>
      <c r="AA138" s="37"/>
    </row>
    <row r="139" spans="2:27" x14ac:dyDescent="0.2">
      <c r="B139" s="37"/>
      <c r="C139" s="37"/>
      <c r="D139" s="37"/>
      <c r="E139" s="37"/>
      <c r="F139" s="38"/>
      <c r="G139" s="37"/>
      <c r="H139" s="37"/>
      <c r="I139" s="37"/>
      <c r="J139" s="37"/>
      <c r="K139" s="37"/>
      <c r="L139" s="304"/>
      <c r="M139" s="304"/>
      <c r="N139" s="304"/>
      <c r="O139" s="304"/>
      <c r="P139" s="304"/>
      <c r="Q139" s="304"/>
      <c r="R139" s="304"/>
      <c r="S139" s="304"/>
      <c r="T139" s="37"/>
      <c r="U139" s="37"/>
      <c r="V139" s="37"/>
      <c r="W139" s="37"/>
      <c r="X139" s="37"/>
      <c r="Y139" s="37"/>
      <c r="Z139" s="37"/>
      <c r="AA139" s="37"/>
    </row>
    <row r="140" spans="2:27" x14ac:dyDescent="0.2">
      <c r="B140" s="37"/>
      <c r="C140" s="37"/>
      <c r="D140" s="37"/>
      <c r="E140" s="37"/>
      <c r="F140" s="38"/>
      <c r="G140" s="37"/>
      <c r="H140" s="37"/>
      <c r="I140" s="37"/>
      <c r="J140" s="37"/>
      <c r="K140" s="37"/>
      <c r="L140" s="304"/>
      <c r="M140" s="304"/>
      <c r="N140" s="304"/>
      <c r="O140" s="304"/>
      <c r="P140" s="304"/>
      <c r="Q140" s="304"/>
      <c r="R140" s="304"/>
      <c r="S140" s="304"/>
      <c r="T140" s="37"/>
      <c r="U140" s="37"/>
      <c r="V140" s="37"/>
      <c r="W140" s="37"/>
      <c r="X140" s="37"/>
      <c r="Y140" s="37"/>
      <c r="Z140" s="37"/>
      <c r="AA140" s="37"/>
    </row>
    <row r="141" spans="2:27" x14ac:dyDescent="0.2">
      <c r="B141" s="37"/>
      <c r="C141" s="37"/>
      <c r="D141" s="37"/>
      <c r="E141" s="37"/>
      <c r="F141" s="38"/>
      <c r="G141" s="37"/>
      <c r="H141" s="37"/>
      <c r="I141" s="37"/>
      <c r="J141" s="37"/>
      <c r="K141" s="37"/>
      <c r="L141" s="304"/>
      <c r="M141" s="304"/>
      <c r="N141" s="304"/>
      <c r="O141" s="304"/>
      <c r="P141" s="304"/>
      <c r="Q141" s="304"/>
      <c r="R141" s="304"/>
      <c r="S141" s="304"/>
      <c r="T141" s="37"/>
      <c r="U141" s="37"/>
      <c r="V141" s="37"/>
      <c r="W141" s="37"/>
      <c r="X141" s="37"/>
      <c r="Y141" s="37"/>
      <c r="Z141" s="37"/>
      <c r="AA141" s="37"/>
    </row>
    <row r="142" spans="2:27" x14ac:dyDescent="0.2">
      <c r="B142" s="37"/>
      <c r="C142" s="37"/>
      <c r="D142" s="37"/>
      <c r="E142" s="37"/>
      <c r="F142" s="38"/>
      <c r="G142" s="37"/>
      <c r="H142" s="37"/>
      <c r="I142" s="37"/>
      <c r="J142" s="37"/>
      <c r="K142" s="37"/>
      <c r="L142" s="304"/>
      <c r="M142" s="304"/>
      <c r="N142" s="304"/>
      <c r="O142" s="304"/>
      <c r="P142" s="304"/>
      <c r="Q142" s="304"/>
      <c r="R142" s="304"/>
      <c r="S142" s="304"/>
      <c r="T142" s="37"/>
      <c r="U142" s="37"/>
      <c r="V142" s="37"/>
      <c r="W142" s="37"/>
      <c r="X142" s="37"/>
      <c r="Y142" s="37"/>
      <c r="Z142" s="37"/>
      <c r="AA142" s="37"/>
    </row>
    <row r="143" spans="2:27" x14ac:dyDescent="0.2">
      <c r="B143" s="37"/>
      <c r="C143" s="37"/>
      <c r="D143" s="37"/>
      <c r="E143" s="37"/>
      <c r="F143" s="38"/>
      <c r="G143" s="37"/>
      <c r="H143" s="37"/>
      <c r="I143" s="37"/>
      <c r="J143" s="37"/>
      <c r="K143" s="37"/>
      <c r="L143" s="304"/>
      <c r="M143" s="304"/>
      <c r="N143" s="304"/>
      <c r="O143" s="304"/>
      <c r="P143" s="304"/>
      <c r="Q143" s="304"/>
      <c r="R143" s="304"/>
      <c r="S143" s="304"/>
      <c r="T143" s="37"/>
      <c r="U143" s="37"/>
      <c r="V143" s="37"/>
      <c r="W143" s="37"/>
      <c r="X143" s="37"/>
      <c r="Y143" s="37"/>
      <c r="Z143" s="37"/>
      <c r="AA143" s="37"/>
    </row>
    <row r="144" spans="2:27" x14ac:dyDescent="0.2">
      <c r="B144" s="37"/>
      <c r="C144" s="37"/>
      <c r="D144" s="37"/>
      <c r="E144" s="37"/>
      <c r="F144" s="38"/>
      <c r="G144" s="37"/>
      <c r="H144" s="37"/>
      <c r="I144" s="37"/>
      <c r="J144" s="37"/>
      <c r="K144" s="37"/>
      <c r="L144" s="304"/>
      <c r="M144" s="304"/>
      <c r="N144" s="304"/>
      <c r="O144" s="304"/>
      <c r="P144" s="304"/>
      <c r="Q144" s="304"/>
      <c r="R144" s="304"/>
      <c r="S144" s="304"/>
      <c r="T144" s="37"/>
      <c r="U144" s="37"/>
      <c r="V144" s="37"/>
      <c r="W144" s="37"/>
      <c r="X144" s="37"/>
      <c r="Y144" s="37"/>
      <c r="Z144" s="37"/>
      <c r="AA144" s="37"/>
    </row>
    <row r="145" spans="2:27" x14ac:dyDescent="0.2">
      <c r="B145" s="37"/>
      <c r="C145" s="37"/>
      <c r="D145" s="37"/>
      <c r="E145" s="37"/>
      <c r="F145" s="38"/>
      <c r="G145" s="37"/>
      <c r="H145" s="37"/>
      <c r="I145" s="37"/>
      <c r="J145" s="37"/>
      <c r="K145" s="37"/>
      <c r="L145" s="304"/>
      <c r="M145" s="304"/>
      <c r="N145" s="304"/>
      <c r="O145" s="304"/>
      <c r="P145" s="304"/>
      <c r="Q145" s="304"/>
      <c r="R145" s="304"/>
      <c r="S145" s="304"/>
      <c r="T145" s="37"/>
      <c r="U145" s="37"/>
      <c r="V145" s="37"/>
      <c r="W145" s="37"/>
      <c r="X145" s="37"/>
      <c r="Y145" s="37"/>
      <c r="Z145" s="37"/>
      <c r="AA145" s="37"/>
    </row>
    <row r="146" spans="2:27" x14ac:dyDescent="0.2">
      <c r="B146" s="37"/>
      <c r="C146" s="37"/>
      <c r="D146" s="37"/>
      <c r="E146" s="37"/>
      <c r="F146" s="38"/>
      <c r="G146" s="37"/>
      <c r="H146" s="37"/>
      <c r="I146" s="37"/>
      <c r="J146" s="37"/>
      <c r="K146" s="37"/>
      <c r="L146" s="304"/>
      <c r="M146" s="304"/>
      <c r="N146" s="304"/>
      <c r="O146" s="304"/>
      <c r="P146" s="304"/>
      <c r="Q146" s="304"/>
      <c r="R146" s="304"/>
      <c r="S146" s="304"/>
      <c r="T146" s="37"/>
      <c r="U146" s="37"/>
      <c r="V146" s="37"/>
      <c r="W146" s="37"/>
      <c r="X146" s="37"/>
      <c r="Y146" s="37"/>
      <c r="Z146" s="37"/>
      <c r="AA146" s="37"/>
    </row>
    <row r="147" spans="2:27" x14ac:dyDescent="0.2">
      <c r="B147" s="37"/>
      <c r="C147" s="37"/>
      <c r="D147" s="37"/>
      <c r="E147" s="37"/>
      <c r="F147" s="38"/>
      <c r="G147" s="37"/>
      <c r="H147" s="37"/>
      <c r="I147" s="37"/>
      <c r="J147" s="37"/>
      <c r="K147" s="37"/>
      <c r="L147" s="304"/>
      <c r="M147" s="304"/>
      <c r="N147" s="304"/>
      <c r="O147" s="304"/>
      <c r="P147" s="304"/>
      <c r="Q147" s="304"/>
      <c r="R147" s="304"/>
      <c r="S147" s="304"/>
      <c r="T147" s="37"/>
      <c r="U147" s="37"/>
      <c r="V147" s="37"/>
      <c r="W147" s="37"/>
      <c r="X147" s="37"/>
      <c r="Y147" s="37"/>
      <c r="Z147" s="37"/>
      <c r="AA147" s="37"/>
    </row>
    <row r="148" spans="2:27" x14ac:dyDescent="0.2">
      <c r="B148" s="37"/>
      <c r="C148" s="37"/>
      <c r="D148" s="37"/>
      <c r="E148" s="37"/>
      <c r="F148" s="38"/>
      <c r="G148" s="37"/>
      <c r="H148" s="37"/>
      <c r="I148" s="37"/>
      <c r="J148" s="37"/>
      <c r="K148" s="37"/>
      <c r="L148" s="304"/>
      <c r="M148" s="304"/>
      <c r="N148" s="304"/>
      <c r="O148" s="304"/>
      <c r="P148" s="304"/>
      <c r="Q148" s="304"/>
      <c r="R148" s="304"/>
      <c r="S148" s="304"/>
      <c r="T148" s="37"/>
      <c r="U148" s="37"/>
      <c r="V148" s="37"/>
      <c r="W148" s="37"/>
      <c r="X148" s="37"/>
      <c r="Y148" s="37"/>
      <c r="Z148" s="37"/>
      <c r="AA148" s="37"/>
    </row>
    <row r="149" spans="2:27" x14ac:dyDescent="0.2">
      <c r="B149" s="37"/>
      <c r="C149" s="37"/>
      <c r="D149" s="37"/>
      <c r="E149" s="37"/>
      <c r="F149" s="38"/>
      <c r="G149" s="37"/>
      <c r="H149" s="37"/>
      <c r="I149" s="37"/>
      <c r="J149" s="37"/>
      <c r="K149" s="37"/>
      <c r="L149" s="304"/>
      <c r="M149" s="304"/>
      <c r="N149" s="304"/>
      <c r="O149" s="304"/>
      <c r="P149" s="304"/>
      <c r="Q149" s="304"/>
      <c r="R149" s="304"/>
      <c r="S149" s="304"/>
      <c r="T149" s="37"/>
      <c r="U149" s="37"/>
      <c r="V149" s="37"/>
      <c r="W149" s="37"/>
      <c r="X149" s="37"/>
      <c r="Y149" s="37"/>
      <c r="Z149" s="37"/>
      <c r="AA149" s="37"/>
    </row>
    <row r="150" spans="2:27" x14ac:dyDescent="0.2">
      <c r="B150" s="37"/>
      <c r="C150" s="37"/>
      <c r="D150" s="37"/>
      <c r="E150" s="37"/>
      <c r="F150" s="38"/>
      <c r="G150" s="37"/>
      <c r="H150" s="37"/>
      <c r="I150" s="37"/>
      <c r="J150" s="37"/>
      <c r="K150" s="37"/>
      <c r="L150" s="304"/>
      <c r="M150" s="304"/>
      <c r="N150" s="304"/>
      <c r="O150" s="304"/>
      <c r="P150" s="304"/>
      <c r="Q150" s="304"/>
      <c r="R150" s="304"/>
      <c r="S150" s="304"/>
      <c r="T150" s="37"/>
      <c r="U150" s="37"/>
      <c r="V150" s="37"/>
      <c r="W150" s="37"/>
      <c r="X150" s="37"/>
      <c r="Y150" s="37"/>
      <c r="Z150" s="37"/>
      <c r="AA150" s="37"/>
    </row>
    <row r="151" spans="2:27" x14ac:dyDescent="0.2">
      <c r="B151" s="37"/>
      <c r="C151" s="37"/>
      <c r="D151" s="37"/>
      <c r="E151" s="37"/>
      <c r="F151" s="38"/>
      <c r="G151" s="37"/>
      <c r="H151" s="37"/>
      <c r="I151" s="37"/>
      <c r="J151" s="37"/>
      <c r="K151" s="37"/>
      <c r="L151" s="304"/>
      <c r="M151" s="304"/>
      <c r="N151" s="304"/>
      <c r="O151" s="304"/>
      <c r="P151" s="304"/>
      <c r="Q151" s="304"/>
      <c r="R151" s="304"/>
      <c r="S151" s="304"/>
      <c r="T151" s="37"/>
      <c r="U151" s="37"/>
      <c r="V151" s="37"/>
      <c r="W151" s="37"/>
      <c r="X151" s="37"/>
      <c r="Y151" s="37"/>
      <c r="Z151" s="37"/>
      <c r="AA151" s="37"/>
    </row>
    <row r="152" spans="2:27" x14ac:dyDescent="0.2">
      <c r="B152" s="37"/>
      <c r="C152" s="37"/>
      <c r="D152" s="37"/>
      <c r="E152" s="37"/>
      <c r="F152" s="38"/>
      <c r="G152" s="37"/>
      <c r="H152" s="37"/>
      <c r="I152" s="37"/>
      <c r="J152" s="37"/>
      <c r="K152" s="37"/>
      <c r="L152" s="304"/>
      <c r="M152" s="304"/>
      <c r="N152" s="304"/>
      <c r="O152" s="304"/>
      <c r="P152" s="304"/>
      <c r="Q152" s="304"/>
      <c r="R152" s="304"/>
      <c r="S152" s="304"/>
      <c r="T152" s="37"/>
      <c r="U152" s="37"/>
      <c r="V152" s="37"/>
      <c r="W152" s="37"/>
      <c r="X152" s="37"/>
      <c r="Y152" s="37"/>
      <c r="Z152" s="37"/>
      <c r="AA152" s="37"/>
    </row>
    <row r="153" spans="2:27" x14ac:dyDescent="0.2">
      <c r="B153" s="37"/>
      <c r="C153" s="37"/>
      <c r="D153" s="37"/>
      <c r="E153" s="37"/>
      <c r="F153" s="38"/>
      <c r="G153" s="37"/>
      <c r="H153" s="37"/>
      <c r="I153" s="37"/>
      <c r="J153" s="37"/>
      <c r="K153" s="37"/>
      <c r="L153" s="304"/>
      <c r="M153" s="304"/>
      <c r="N153" s="304"/>
      <c r="O153" s="304"/>
      <c r="P153" s="304"/>
      <c r="Q153" s="304"/>
      <c r="R153" s="304"/>
      <c r="S153" s="304"/>
      <c r="T153" s="37"/>
      <c r="U153" s="37"/>
      <c r="V153" s="37"/>
      <c r="W153" s="37"/>
      <c r="X153" s="37"/>
      <c r="Y153" s="37"/>
      <c r="Z153" s="37"/>
      <c r="AA153" s="37"/>
    </row>
    <row r="154" spans="2:27" x14ac:dyDescent="0.2">
      <c r="B154" s="37"/>
      <c r="C154" s="37"/>
      <c r="D154" s="37"/>
      <c r="E154" s="37"/>
      <c r="F154" s="38"/>
      <c r="G154" s="37"/>
      <c r="H154" s="37"/>
      <c r="I154" s="37"/>
      <c r="J154" s="37"/>
      <c r="K154" s="37"/>
      <c r="L154" s="304"/>
      <c r="M154" s="304"/>
      <c r="N154" s="304"/>
      <c r="O154" s="304"/>
      <c r="P154" s="304"/>
      <c r="Q154" s="304"/>
      <c r="R154" s="304"/>
      <c r="S154" s="304"/>
      <c r="T154" s="37"/>
      <c r="U154" s="37"/>
      <c r="V154" s="37"/>
      <c r="W154" s="37"/>
      <c r="X154" s="37"/>
      <c r="Y154" s="37"/>
      <c r="Z154" s="37"/>
      <c r="AA154" s="37"/>
    </row>
    <row r="155" spans="2:27" x14ac:dyDescent="0.2">
      <c r="B155" s="37"/>
      <c r="C155" s="37"/>
      <c r="D155" s="37"/>
      <c r="E155" s="37"/>
      <c r="F155" s="38"/>
      <c r="G155" s="37"/>
      <c r="H155" s="37"/>
      <c r="I155" s="37"/>
      <c r="J155" s="37"/>
      <c r="K155" s="37"/>
      <c r="L155" s="304"/>
      <c r="M155" s="304"/>
      <c r="N155" s="304"/>
      <c r="O155" s="304"/>
      <c r="P155" s="304"/>
      <c r="Q155" s="304"/>
      <c r="R155" s="304"/>
      <c r="S155" s="304"/>
      <c r="T155" s="37"/>
      <c r="U155" s="37"/>
      <c r="V155" s="37"/>
      <c r="W155" s="37"/>
      <c r="X155" s="37"/>
      <c r="Y155" s="37"/>
      <c r="Z155" s="37"/>
      <c r="AA155" s="37"/>
    </row>
    <row r="156" spans="2:27" x14ac:dyDescent="0.2">
      <c r="B156" s="37"/>
      <c r="C156" s="37"/>
      <c r="D156" s="37"/>
      <c r="E156" s="37"/>
      <c r="F156" s="38"/>
      <c r="G156" s="37"/>
      <c r="H156" s="37"/>
      <c r="I156" s="37"/>
      <c r="J156" s="37"/>
      <c r="K156" s="37"/>
      <c r="L156" s="304"/>
      <c r="M156" s="304"/>
      <c r="N156" s="304"/>
      <c r="O156" s="304"/>
      <c r="P156" s="304"/>
      <c r="Q156" s="304"/>
      <c r="R156" s="304"/>
      <c r="S156" s="304"/>
      <c r="T156" s="37"/>
      <c r="U156" s="37"/>
      <c r="V156" s="37"/>
      <c r="W156" s="37"/>
      <c r="X156" s="37"/>
      <c r="Y156" s="37"/>
      <c r="Z156" s="37"/>
      <c r="AA156" s="37"/>
    </row>
    <row r="157" spans="2:27" x14ac:dyDescent="0.2">
      <c r="B157" s="37"/>
      <c r="C157" s="37"/>
      <c r="D157" s="37"/>
      <c r="E157" s="37"/>
      <c r="F157" s="38"/>
      <c r="G157" s="37"/>
      <c r="H157" s="37"/>
      <c r="I157" s="37"/>
      <c r="J157" s="37"/>
      <c r="K157" s="37"/>
      <c r="L157" s="304"/>
      <c r="M157" s="304"/>
      <c r="N157" s="304"/>
      <c r="O157" s="304"/>
      <c r="P157" s="304"/>
      <c r="Q157" s="304"/>
      <c r="R157" s="304"/>
      <c r="S157" s="304"/>
      <c r="T157" s="37"/>
      <c r="U157" s="37"/>
      <c r="V157" s="37"/>
      <c r="W157" s="37"/>
      <c r="X157" s="37"/>
      <c r="Y157" s="37"/>
      <c r="Z157" s="37"/>
      <c r="AA157" s="37"/>
    </row>
    <row r="158" spans="2:27" x14ac:dyDescent="0.2">
      <c r="B158" s="37"/>
      <c r="C158" s="37"/>
      <c r="D158" s="37"/>
      <c r="E158" s="37"/>
      <c r="F158" s="38"/>
      <c r="G158" s="37"/>
      <c r="H158" s="37"/>
      <c r="I158" s="37"/>
      <c r="J158" s="37"/>
      <c r="K158" s="37"/>
      <c r="L158" s="304"/>
      <c r="M158" s="304"/>
      <c r="N158" s="304"/>
      <c r="O158" s="304"/>
      <c r="P158" s="304"/>
      <c r="Q158" s="304"/>
      <c r="R158" s="304"/>
      <c r="S158" s="304"/>
      <c r="T158" s="37"/>
      <c r="U158" s="37"/>
      <c r="V158" s="37"/>
      <c r="W158" s="37"/>
      <c r="X158" s="37"/>
      <c r="Y158" s="37"/>
      <c r="Z158" s="37"/>
      <c r="AA158" s="37"/>
    </row>
    <row r="159" spans="2:27" x14ac:dyDescent="0.2">
      <c r="B159" s="37"/>
      <c r="C159" s="37"/>
      <c r="D159" s="37"/>
      <c r="E159" s="37"/>
      <c r="F159" s="38"/>
      <c r="G159" s="37"/>
      <c r="H159" s="37"/>
      <c r="I159" s="37"/>
      <c r="J159" s="37"/>
      <c r="K159" s="37"/>
      <c r="L159" s="304"/>
      <c r="M159" s="304"/>
      <c r="N159" s="304"/>
      <c r="O159" s="304"/>
      <c r="P159" s="304"/>
      <c r="Q159" s="304"/>
      <c r="R159" s="304"/>
      <c r="S159" s="304"/>
      <c r="T159" s="37"/>
      <c r="U159" s="37"/>
      <c r="V159" s="37"/>
      <c r="W159" s="37"/>
      <c r="X159" s="37"/>
      <c r="Y159" s="37"/>
      <c r="Z159" s="37"/>
      <c r="AA159" s="37"/>
    </row>
    <row r="160" spans="2:27" x14ac:dyDescent="0.2"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04"/>
      <c r="M160" s="304"/>
      <c r="N160" s="304"/>
      <c r="O160" s="304"/>
      <c r="P160" s="304"/>
      <c r="Q160" s="304"/>
      <c r="R160" s="304"/>
      <c r="S160" s="304"/>
      <c r="T160" s="37"/>
      <c r="U160" s="37"/>
      <c r="V160" s="37"/>
      <c r="W160" s="37"/>
      <c r="X160" s="37"/>
      <c r="Y160" s="37"/>
      <c r="Z160" s="37"/>
      <c r="AA160" s="37"/>
    </row>
    <row r="161" spans="2:27" x14ac:dyDescent="0.2">
      <c r="B161" s="37"/>
      <c r="C161" s="37"/>
      <c r="D161" s="37"/>
      <c r="E161" s="37"/>
      <c r="F161" s="38"/>
      <c r="G161" s="37"/>
      <c r="H161" s="37"/>
      <c r="I161" s="37"/>
      <c r="J161" s="37"/>
      <c r="K161" s="37"/>
      <c r="L161" s="304"/>
      <c r="M161" s="304"/>
      <c r="N161" s="304"/>
      <c r="O161" s="304"/>
      <c r="P161" s="304"/>
      <c r="Q161" s="304"/>
      <c r="R161" s="304"/>
      <c r="S161" s="304"/>
      <c r="T161" s="37"/>
      <c r="U161" s="37"/>
      <c r="V161" s="37"/>
      <c r="W161" s="37"/>
      <c r="X161" s="37"/>
      <c r="Y161" s="37"/>
      <c r="Z161" s="37"/>
      <c r="AA161" s="37"/>
    </row>
    <row r="162" spans="2:27" x14ac:dyDescent="0.2">
      <c r="B162" s="37"/>
      <c r="C162" s="37"/>
      <c r="D162" s="37"/>
      <c r="E162" s="37"/>
      <c r="F162" s="38"/>
      <c r="G162" s="37"/>
      <c r="H162" s="37"/>
      <c r="I162" s="37"/>
      <c r="J162" s="37"/>
      <c r="K162" s="37"/>
      <c r="L162" s="304"/>
      <c r="M162" s="304"/>
      <c r="N162" s="304"/>
      <c r="O162" s="304"/>
      <c r="P162" s="304"/>
      <c r="Q162" s="304"/>
      <c r="R162" s="304"/>
      <c r="S162" s="304"/>
      <c r="T162" s="37"/>
      <c r="U162" s="37"/>
      <c r="V162" s="37"/>
      <c r="W162" s="37"/>
      <c r="X162" s="37"/>
      <c r="Y162" s="37"/>
      <c r="Z162" s="37"/>
      <c r="AA162" s="37"/>
    </row>
    <row r="163" spans="2:27" x14ac:dyDescent="0.2">
      <c r="B163" s="37"/>
      <c r="C163" s="37"/>
      <c r="D163" s="37"/>
      <c r="E163" s="37"/>
      <c r="F163" s="38"/>
      <c r="G163" s="37"/>
      <c r="H163" s="37"/>
      <c r="I163" s="37"/>
      <c r="J163" s="37"/>
      <c r="K163" s="37"/>
      <c r="L163" s="304"/>
      <c r="M163" s="304"/>
      <c r="N163" s="304"/>
      <c r="O163" s="304"/>
      <c r="P163" s="304"/>
      <c r="Q163" s="304"/>
      <c r="R163" s="304"/>
      <c r="S163" s="304"/>
      <c r="T163" s="37"/>
      <c r="U163" s="37"/>
      <c r="V163" s="37"/>
      <c r="W163" s="37"/>
      <c r="X163" s="37"/>
      <c r="Y163" s="37"/>
      <c r="Z163" s="37"/>
      <c r="AA163" s="37"/>
    </row>
    <row r="164" spans="2:27" x14ac:dyDescent="0.2">
      <c r="B164" s="37"/>
      <c r="C164" s="37"/>
      <c r="D164" s="37"/>
      <c r="E164" s="37"/>
      <c r="F164" s="38"/>
      <c r="G164" s="37"/>
      <c r="H164" s="37"/>
      <c r="I164" s="37"/>
      <c r="J164" s="37"/>
      <c r="K164" s="37"/>
      <c r="L164" s="304"/>
      <c r="M164" s="304"/>
      <c r="N164" s="304"/>
      <c r="O164" s="304"/>
      <c r="P164" s="304"/>
      <c r="Q164" s="304"/>
      <c r="R164" s="304"/>
      <c r="S164" s="304"/>
      <c r="T164" s="37"/>
      <c r="U164" s="37"/>
      <c r="V164" s="37"/>
      <c r="W164" s="37"/>
      <c r="X164" s="37"/>
      <c r="Y164" s="37"/>
      <c r="Z164" s="37"/>
      <c r="AA164" s="37"/>
    </row>
    <row r="165" spans="2:27" x14ac:dyDescent="0.2">
      <c r="B165" s="37"/>
      <c r="C165" s="37"/>
      <c r="D165" s="37"/>
      <c r="E165" s="37"/>
      <c r="F165" s="38"/>
      <c r="G165" s="37"/>
      <c r="H165" s="37"/>
      <c r="I165" s="37"/>
      <c r="J165" s="37"/>
      <c r="K165" s="37"/>
      <c r="L165" s="304"/>
      <c r="M165" s="304"/>
      <c r="N165" s="304"/>
      <c r="O165" s="304"/>
      <c r="P165" s="304"/>
      <c r="Q165" s="304"/>
      <c r="R165" s="304"/>
      <c r="S165" s="304"/>
      <c r="T165" s="37"/>
      <c r="U165" s="37"/>
      <c r="V165" s="37"/>
      <c r="W165" s="37"/>
      <c r="X165" s="37"/>
      <c r="Y165" s="37"/>
      <c r="Z165" s="37"/>
      <c r="AA165" s="37"/>
    </row>
    <row r="166" spans="2:27" x14ac:dyDescent="0.2">
      <c r="B166" s="37"/>
      <c r="C166" s="37"/>
      <c r="D166" s="37"/>
      <c r="E166" s="37"/>
      <c r="F166" s="38"/>
      <c r="G166" s="37"/>
      <c r="H166" s="37"/>
      <c r="I166" s="37"/>
      <c r="J166" s="37"/>
      <c r="K166" s="37"/>
      <c r="L166" s="304"/>
      <c r="M166" s="304"/>
      <c r="N166" s="304"/>
      <c r="O166" s="304"/>
      <c r="P166" s="304"/>
      <c r="Q166" s="304"/>
      <c r="R166" s="304"/>
      <c r="S166" s="304"/>
      <c r="T166" s="37"/>
      <c r="U166" s="37"/>
      <c r="V166" s="37"/>
      <c r="W166" s="37"/>
      <c r="X166" s="37"/>
      <c r="Y166" s="37"/>
      <c r="Z166" s="37"/>
      <c r="AA166" s="37"/>
    </row>
    <row r="167" spans="2:27" x14ac:dyDescent="0.2">
      <c r="B167" s="37"/>
      <c r="C167" s="37"/>
      <c r="D167" s="37"/>
      <c r="E167" s="37"/>
      <c r="F167" s="38"/>
      <c r="G167" s="37"/>
      <c r="H167" s="37"/>
      <c r="I167" s="37"/>
      <c r="J167" s="37"/>
      <c r="K167" s="37"/>
      <c r="L167" s="304"/>
      <c r="M167" s="304"/>
      <c r="N167" s="304"/>
      <c r="O167" s="304"/>
      <c r="P167" s="304"/>
      <c r="Q167" s="304"/>
      <c r="R167" s="304"/>
      <c r="S167" s="304"/>
      <c r="T167" s="37"/>
      <c r="U167" s="37"/>
      <c r="V167" s="37"/>
      <c r="W167" s="37"/>
      <c r="X167" s="37"/>
      <c r="Y167" s="37"/>
      <c r="Z167" s="37"/>
      <c r="AA167" s="37"/>
    </row>
    <row r="168" spans="2:27" x14ac:dyDescent="0.2">
      <c r="B168" s="37"/>
      <c r="C168" s="37"/>
      <c r="D168" s="37"/>
      <c r="E168" s="37"/>
      <c r="F168" s="38"/>
      <c r="G168" s="37"/>
      <c r="H168" s="37"/>
      <c r="I168" s="37"/>
      <c r="J168" s="37"/>
      <c r="K168" s="37"/>
      <c r="L168" s="304"/>
      <c r="M168" s="304"/>
      <c r="N168" s="304"/>
      <c r="O168" s="304"/>
      <c r="P168" s="304"/>
      <c r="Q168" s="304"/>
      <c r="R168" s="304"/>
      <c r="S168" s="304"/>
      <c r="T168" s="37"/>
      <c r="U168" s="37"/>
      <c r="V168" s="37"/>
      <c r="W168" s="37"/>
      <c r="X168" s="37"/>
      <c r="Y168" s="37"/>
      <c r="Z168" s="37"/>
      <c r="AA168" s="37"/>
    </row>
    <row r="169" spans="2:27" x14ac:dyDescent="0.2">
      <c r="B169" s="37"/>
      <c r="C169" s="37"/>
      <c r="D169" s="37"/>
      <c r="E169" s="37"/>
      <c r="F169" s="38"/>
      <c r="G169" s="37"/>
      <c r="H169" s="37"/>
      <c r="I169" s="37"/>
      <c r="J169" s="37"/>
      <c r="K169" s="37"/>
      <c r="L169" s="304"/>
      <c r="M169" s="304"/>
      <c r="N169" s="304"/>
      <c r="O169" s="304"/>
      <c r="P169" s="304"/>
      <c r="Q169" s="304"/>
      <c r="R169" s="304"/>
      <c r="S169" s="304"/>
      <c r="T169" s="37"/>
      <c r="U169" s="37"/>
      <c r="V169" s="37"/>
      <c r="W169" s="37"/>
      <c r="X169" s="37"/>
      <c r="Y169" s="37"/>
      <c r="Z169" s="37"/>
      <c r="AA169" s="37"/>
    </row>
    <row r="170" spans="2:27" x14ac:dyDescent="0.2">
      <c r="B170" s="37"/>
      <c r="C170" s="37"/>
      <c r="D170" s="37"/>
      <c r="E170" s="37"/>
      <c r="F170" s="38"/>
      <c r="G170" s="37"/>
      <c r="H170" s="37"/>
      <c r="I170" s="37"/>
      <c r="J170" s="37"/>
      <c r="K170" s="37"/>
      <c r="L170" s="304"/>
      <c r="M170" s="304"/>
      <c r="N170" s="304"/>
      <c r="O170" s="304"/>
      <c r="P170" s="304"/>
      <c r="Q170" s="304"/>
      <c r="R170" s="304"/>
      <c r="S170" s="304"/>
      <c r="T170" s="37"/>
      <c r="U170" s="37"/>
      <c r="V170" s="37"/>
      <c r="W170" s="37"/>
      <c r="X170" s="37"/>
      <c r="Y170" s="37"/>
      <c r="Z170" s="37"/>
      <c r="AA170" s="37"/>
    </row>
    <row r="171" spans="2:27" x14ac:dyDescent="0.2">
      <c r="B171" s="37"/>
      <c r="C171" s="37"/>
      <c r="D171" s="37"/>
      <c r="E171" s="37"/>
      <c r="F171" s="38"/>
      <c r="G171" s="37"/>
      <c r="H171" s="37"/>
      <c r="I171" s="37"/>
      <c r="J171" s="37"/>
      <c r="K171" s="37"/>
      <c r="L171" s="304"/>
      <c r="M171" s="304"/>
      <c r="N171" s="304"/>
      <c r="O171" s="304"/>
      <c r="P171" s="304"/>
      <c r="Q171" s="304"/>
      <c r="R171" s="304"/>
      <c r="S171" s="304"/>
      <c r="T171" s="37"/>
      <c r="U171" s="37"/>
      <c r="V171" s="37"/>
      <c r="W171" s="37"/>
      <c r="X171" s="37"/>
      <c r="Y171" s="37"/>
      <c r="Z171" s="37"/>
      <c r="AA171" s="37"/>
    </row>
    <row r="172" spans="2:27" x14ac:dyDescent="0.2">
      <c r="B172" s="37"/>
      <c r="C172" s="37"/>
      <c r="D172" s="37"/>
      <c r="E172" s="37"/>
      <c r="F172" s="38"/>
      <c r="G172" s="37"/>
      <c r="H172" s="37"/>
      <c r="I172" s="37"/>
      <c r="J172" s="37"/>
      <c r="K172" s="37"/>
      <c r="L172" s="304"/>
      <c r="M172" s="304"/>
      <c r="N172" s="304"/>
      <c r="O172" s="304"/>
      <c r="P172" s="304"/>
      <c r="Q172" s="304"/>
      <c r="R172" s="304"/>
      <c r="S172" s="304"/>
      <c r="T172" s="37"/>
      <c r="U172" s="37"/>
      <c r="V172" s="37"/>
      <c r="W172" s="37"/>
      <c r="X172" s="37"/>
      <c r="Y172" s="37"/>
      <c r="Z172" s="37"/>
      <c r="AA172" s="37"/>
    </row>
    <row r="173" spans="2:27" x14ac:dyDescent="0.2">
      <c r="B173" s="37"/>
      <c r="C173" s="37"/>
      <c r="D173" s="37"/>
      <c r="E173" s="37"/>
      <c r="F173" s="38"/>
      <c r="G173" s="37"/>
      <c r="H173" s="37"/>
      <c r="I173" s="37"/>
      <c r="J173" s="37"/>
      <c r="K173" s="37"/>
      <c r="L173" s="304"/>
      <c r="M173" s="304"/>
      <c r="N173" s="304"/>
      <c r="O173" s="304"/>
      <c r="P173" s="304"/>
      <c r="Q173" s="304"/>
      <c r="R173" s="304"/>
      <c r="S173" s="304"/>
      <c r="T173" s="37"/>
      <c r="U173" s="37"/>
      <c r="V173" s="37"/>
      <c r="W173" s="37"/>
      <c r="X173" s="37"/>
      <c r="Y173" s="37"/>
      <c r="Z173" s="37"/>
      <c r="AA173" s="37"/>
    </row>
    <row r="174" spans="2:27" x14ac:dyDescent="0.2">
      <c r="B174" s="37"/>
      <c r="C174" s="37"/>
      <c r="D174" s="37"/>
      <c r="E174" s="37"/>
      <c r="F174" s="38"/>
      <c r="G174" s="37"/>
      <c r="H174" s="37"/>
      <c r="I174" s="37"/>
      <c r="J174" s="37"/>
      <c r="K174" s="37"/>
      <c r="L174" s="304"/>
      <c r="M174" s="304"/>
      <c r="N174" s="304"/>
      <c r="O174" s="304"/>
      <c r="P174" s="304"/>
      <c r="Q174" s="304"/>
      <c r="R174" s="304"/>
      <c r="S174" s="304"/>
      <c r="T174" s="37"/>
      <c r="U174" s="37"/>
      <c r="V174" s="37"/>
      <c r="W174" s="37"/>
      <c r="X174" s="37"/>
      <c r="Y174" s="37"/>
      <c r="Z174" s="37"/>
      <c r="AA174" s="37"/>
    </row>
    <row r="175" spans="2:27" x14ac:dyDescent="0.2">
      <c r="B175" s="37"/>
      <c r="C175" s="37"/>
      <c r="D175" s="37"/>
      <c r="E175" s="37"/>
      <c r="F175" s="38"/>
      <c r="G175" s="37"/>
      <c r="H175" s="37"/>
      <c r="I175" s="37"/>
      <c r="J175" s="37"/>
      <c r="K175" s="37"/>
      <c r="L175" s="304"/>
      <c r="M175" s="304"/>
      <c r="N175" s="304"/>
      <c r="O175" s="304"/>
      <c r="P175" s="304"/>
      <c r="Q175" s="304"/>
      <c r="R175" s="304"/>
      <c r="S175" s="304"/>
      <c r="T175" s="37"/>
      <c r="U175" s="37"/>
      <c r="V175" s="37"/>
      <c r="W175" s="37"/>
      <c r="X175" s="37"/>
      <c r="Y175" s="37"/>
      <c r="Z175" s="37"/>
      <c r="AA175" s="37"/>
    </row>
    <row r="176" spans="2:27" x14ac:dyDescent="0.2">
      <c r="B176" s="37"/>
      <c r="C176" s="37"/>
      <c r="D176" s="37"/>
      <c r="E176" s="37"/>
      <c r="F176" s="38"/>
      <c r="G176" s="37"/>
      <c r="H176" s="37"/>
      <c r="I176" s="37"/>
      <c r="J176" s="37"/>
      <c r="K176" s="37"/>
      <c r="L176" s="304"/>
      <c r="M176" s="304"/>
      <c r="N176" s="304"/>
      <c r="O176" s="304"/>
      <c r="P176" s="304"/>
      <c r="Q176" s="304"/>
      <c r="R176" s="304"/>
      <c r="S176" s="304"/>
      <c r="T176" s="37"/>
      <c r="U176" s="37"/>
      <c r="V176" s="37"/>
      <c r="W176" s="37"/>
      <c r="X176" s="37"/>
      <c r="Y176" s="37"/>
      <c r="Z176" s="37"/>
      <c r="AA176" s="37"/>
    </row>
    <row r="177" spans="2:27" x14ac:dyDescent="0.2">
      <c r="B177" s="37"/>
      <c r="C177" s="37"/>
      <c r="D177" s="37"/>
      <c r="E177" s="37"/>
      <c r="F177" s="38"/>
      <c r="G177" s="37"/>
      <c r="H177" s="37"/>
      <c r="I177" s="37"/>
      <c r="J177" s="37"/>
      <c r="K177" s="37"/>
      <c r="L177" s="304"/>
      <c r="M177" s="304"/>
      <c r="N177" s="304"/>
      <c r="O177" s="304"/>
      <c r="P177" s="304"/>
      <c r="Q177" s="304"/>
      <c r="R177" s="304"/>
      <c r="S177" s="304"/>
      <c r="T177" s="37"/>
      <c r="U177" s="37"/>
      <c r="V177" s="37"/>
      <c r="W177" s="37"/>
      <c r="X177" s="37"/>
      <c r="Y177" s="37"/>
      <c r="Z177" s="37"/>
      <c r="AA177" s="37"/>
    </row>
    <row r="178" spans="2:27" x14ac:dyDescent="0.2">
      <c r="B178" s="37"/>
      <c r="C178" s="37"/>
      <c r="D178" s="37"/>
      <c r="E178" s="37"/>
      <c r="F178" s="38"/>
      <c r="G178" s="37"/>
      <c r="H178" s="37"/>
      <c r="I178" s="37"/>
      <c r="J178" s="37"/>
      <c r="K178" s="37"/>
      <c r="L178" s="304"/>
      <c r="M178" s="304"/>
      <c r="N178" s="304"/>
      <c r="O178" s="304"/>
      <c r="P178" s="304"/>
      <c r="Q178" s="304"/>
      <c r="R178" s="304"/>
      <c r="S178" s="304"/>
      <c r="T178" s="37"/>
      <c r="U178" s="37"/>
      <c r="V178" s="37"/>
      <c r="W178" s="37"/>
      <c r="X178" s="37"/>
      <c r="Y178" s="37"/>
      <c r="Z178" s="37"/>
      <c r="AA178" s="37"/>
    </row>
    <row r="179" spans="2:27" x14ac:dyDescent="0.2">
      <c r="B179" s="37"/>
      <c r="C179" s="37"/>
      <c r="D179" s="37"/>
      <c r="E179" s="37"/>
      <c r="F179" s="38"/>
      <c r="G179" s="37"/>
      <c r="H179" s="37"/>
      <c r="I179" s="37"/>
      <c r="J179" s="37"/>
      <c r="K179" s="37"/>
      <c r="L179" s="304"/>
      <c r="M179" s="304"/>
      <c r="N179" s="304"/>
      <c r="O179" s="304"/>
      <c r="P179" s="304"/>
      <c r="Q179" s="304"/>
      <c r="R179" s="304"/>
      <c r="S179" s="304"/>
      <c r="T179" s="37"/>
      <c r="U179" s="37"/>
      <c r="V179" s="37"/>
      <c r="W179" s="37"/>
      <c r="X179" s="37"/>
      <c r="Y179" s="37"/>
      <c r="Z179" s="37"/>
      <c r="AA179" s="37"/>
    </row>
    <row r="180" spans="2:27" x14ac:dyDescent="0.2">
      <c r="B180" s="37"/>
      <c r="C180" s="37"/>
      <c r="D180" s="37"/>
      <c r="E180" s="37"/>
      <c r="F180" s="38"/>
      <c r="G180" s="37"/>
      <c r="H180" s="37"/>
      <c r="I180" s="37"/>
      <c r="J180" s="37"/>
      <c r="K180" s="37"/>
      <c r="L180" s="304"/>
      <c r="M180" s="304"/>
      <c r="N180" s="304"/>
      <c r="O180" s="304"/>
      <c r="P180" s="304"/>
      <c r="Q180" s="304"/>
      <c r="R180" s="304"/>
      <c r="S180" s="304"/>
      <c r="T180" s="37"/>
      <c r="U180" s="37"/>
      <c r="V180" s="37"/>
      <c r="W180" s="37"/>
      <c r="X180" s="37"/>
      <c r="Y180" s="37"/>
      <c r="Z180" s="37"/>
      <c r="AA180" s="37"/>
    </row>
    <row r="181" spans="2:27" x14ac:dyDescent="0.2">
      <c r="B181" s="37"/>
      <c r="C181" s="37"/>
      <c r="D181" s="37"/>
      <c r="E181" s="37"/>
      <c r="F181" s="38"/>
      <c r="G181" s="37"/>
      <c r="H181" s="37"/>
      <c r="I181" s="37"/>
      <c r="J181" s="37"/>
      <c r="K181" s="37"/>
      <c r="L181" s="304"/>
      <c r="M181" s="304"/>
      <c r="N181" s="304"/>
      <c r="O181" s="304"/>
      <c r="P181" s="304"/>
      <c r="Q181" s="304"/>
      <c r="R181" s="304"/>
      <c r="S181" s="304"/>
      <c r="T181" s="37"/>
      <c r="U181" s="37"/>
      <c r="V181" s="37"/>
      <c r="W181" s="37"/>
      <c r="X181" s="37"/>
      <c r="Y181" s="37"/>
      <c r="Z181" s="37"/>
      <c r="AA181" s="37"/>
    </row>
    <row r="182" spans="2:27" x14ac:dyDescent="0.2">
      <c r="B182" s="37"/>
      <c r="C182" s="37"/>
      <c r="D182" s="37"/>
      <c r="E182" s="37"/>
      <c r="F182" s="38"/>
      <c r="G182" s="37"/>
      <c r="H182" s="37"/>
      <c r="I182" s="37"/>
      <c r="J182" s="37"/>
      <c r="K182" s="37"/>
      <c r="L182" s="304"/>
      <c r="M182" s="304"/>
      <c r="N182" s="304"/>
      <c r="O182" s="304"/>
      <c r="P182" s="304"/>
      <c r="Q182" s="304"/>
      <c r="R182" s="304"/>
      <c r="S182" s="304"/>
      <c r="T182" s="37"/>
      <c r="U182" s="37"/>
      <c r="V182" s="37"/>
      <c r="W182" s="37"/>
      <c r="X182" s="37"/>
      <c r="Y182" s="37"/>
      <c r="Z182" s="37"/>
      <c r="AA182" s="37"/>
    </row>
    <row r="183" spans="2:27" x14ac:dyDescent="0.2">
      <c r="B183" s="37"/>
      <c r="C183" s="37"/>
      <c r="D183" s="37"/>
      <c r="E183" s="37"/>
      <c r="F183" s="38"/>
      <c r="G183" s="37"/>
      <c r="H183" s="37"/>
      <c r="I183" s="37"/>
      <c r="J183" s="37"/>
      <c r="K183" s="37"/>
      <c r="L183" s="304"/>
      <c r="M183" s="304"/>
      <c r="N183" s="304"/>
      <c r="O183" s="304"/>
      <c r="P183" s="304"/>
      <c r="Q183" s="304"/>
      <c r="R183" s="304"/>
      <c r="S183" s="304"/>
      <c r="T183" s="37"/>
      <c r="U183" s="37"/>
      <c r="V183" s="37"/>
      <c r="W183" s="37"/>
      <c r="X183" s="37"/>
      <c r="Y183" s="37"/>
      <c r="Z183" s="37"/>
      <c r="AA183" s="37"/>
    </row>
    <row r="184" spans="2:27" x14ac:dyDescent="0.2">
      <c r="B184" s="37"/>
      <c r="C184" s="37"/>
      <c r="D184" s="37"/>
      <c r="E184" s="37"/>
      <c r="F184" s="38"/>
      <c r="G184" s="37"/>
      <c r="H184" s="37"/>
      <c r="I184" s="37"/>
      <c r="J184" s="37"/>
      <c r="K184" s="37"/>
      <c r="L184" s="304"/>
      <c r="M184" s="304"/>
      <c r="N184" s="304"/>
      <c r="O184" s="304"/>
      <c r="P184" s="304"/>
      <c r="Q184" s="304"/>
      <c r="R184" s="304"/>
      <c r="S184" s="304"/>
      <c r="T184" s="37"/>
      <c r="U184" s="37"/>
      <c r="V184" s="37"/>
      <c r="W184" s="37"/>
      <c r="X184" s="37"/>
      <c r="Y184" s="37"/>
      <c r="Z184" s="37"/>
      <c r="AA184" s="37"/>
    </row>
    <row r="185" spans="2:27" x14ac:dyDescent="0.2">
      <c r="B185" s="37"/>
      <c r="C185" s="37"/>
      <c r="D185" s="37"/>
      <c r="E185" s="37"/>
      <c r="F185" s="38"/>
      <c r="G185" s="37"/>
      <c r="H185" s="37"/>
      <c r="I185" s="37"/>
      <c r="J185" s="37"/>
      <c r="K185" s="37"/>
      <c r="L185" s="304"/>
      <c r="M185" s="304"/>
      <c r="N185" s="304"/>
      <c r="O185" s="304"/>
      <c r="P185" s="304"/>
      <c r="Q185" s="304"/>
      <c r="R185" s="304"/>
      <c r="S185" s="304"/>
      <c r="T185" s="37"/>
      <c r="U185" s="37"/>
      <c r="V185" s="37"/>
      <c r="W185" s="37"/>
      <c r="X185" s="37"/>
      <c r="Y185" s="37"/>
      <c r="Z185" s="37"/>
      <c r="AA185" s="37"/>
    </row>
    <row r="186" spans="2:27" x14ac:dyDescent="0.2">
      <c r="B186" s="37"/>
      <c r="C186" s="37"/>
      <c r="D186" s="37"/>
      <c r="E186" s="37"/>
      <c r="F186" s="38"/>
      <c r="G186" s="37"/>
      <c r="H186" s="37"/>
      <c r="I186" s="37"/>
      <c r="J186" s="37"/>
      <c r="K186" s="37"/>
      <c r="L186" s="304"/>
      <c r="M186" s="304"/>
      <c r="N186" s="304"/>
      <c r="O186" s="304"/>
      <c r="P186" s="304"/>
      <c r="Q186" s="304"/>
      <c r="R186" s="304"/>
      <c r="S186" s="304"/>
      <c r="T186" s="37"/>
      <c r="U186" s="37"/>
      <c r="V186" s="37"/>
      <c r="W186" s="37"/>
      <c r="X186" s="37"/>
      <c r="Y186" s="37"/>
      <c r="Z186" s="37"/>
      <c r="AA186" s="37"/>
    </row>
    <row r="187" spans="2:27" x14ac:dyDescent="0.2">
      <c r="B187" s="37"/>
      <c r="C187" s="37"/>
      <c r="D187" s="37"/>
      <c r="E187" s="37"/>
      <c r="F187" s="38"/>
      <c r="G187" s="37"/>
      <c r="H187" s="37"/>
      <c r="I187" s="37"/>
      <c r="J187" s="37"/>
      <c r="K187" s="37"/>
      <c r="L187" s="304"/>
      <c r="M187" s="304"/>
      <c r="N187" s="304"/>
      <c r="O187" s="304"/>
      <c r="P187" s="304"/>
      <c r="Q187" s="304"/>
      <c r="R187" s="304"/>
      <c r="S187" s="304"/>
      <c r="T187" s="37"/>
      <c r="U187" s="37"/>
      <c r="V187" s="37"/>
      <c r="W187" s="37"/>
      <c r="X187" s="37"/>
      <c r="Y187" s="37"/>
      <c r="Z187" s="37"/>
      <c r="AA187" s="37"/>
    </row>
    <row r="188" spans="2:27" x14ac:dyDescent="0.2">
      <c r="B188" s="37"/>
      <c r="C188" s="37"/>
      <c r="D188" s="37"/>
      <c r="E188" s="37"/>
      <c r="F188" s="38"/>
      <c r="G188" s="37"/>
      <c r="H188" s="37"/>
      <c r="I188" s="37"/>
      <c r="J188" s="37"/>
      <c r="K188" s="37"/>
      <c r="L188" s="304"/>
      <c r="M188" s="304"/>
      <c r="N188" s="304"/>
      <c r="O188" s="304"/>
      <c r="P188" s="304"/>
      <c r="Q188" s="304"/>
      <c r="R188" s="304"/>
      <c r="S188" s="304"/>
      <c r="T188" s="37"/>
      <c r="U188" s="37"/>
      <c r="V188" s="37"/>
      <c r="W188" s="37"/>
      <c r="X188" s="37"/>
      <c r="Y188" s="37"/>
      <c r="Z188" s="37"/>
      <c r="AA188" s="37"/>
    </row>
    <row r="189" spans="2:27" x14ac:dyDescent="0.2">
      <c r="B189" s="37"/>
      <c r="C189" s="37"/>
      <c r="D189" s="37"/>
      <c r="E189" s="37"/>
      <c r="F189" s="38"/>
      <c r="G189" s="37"/>
      <c r="H189" s="37"/>
      <c r="I189" s="37"/>
      <c r="J189" s="37"/>
      <c r="K189" s="37"/>
      <c r="L189" s="304"/>
      <c r="M189" s="304"/>
      <c r="N189" s="304"/>
      <c r="O189" s="304"/>
      <c r="P189" s="304"/>
      <c r="Q189" s="304"/>
      <c r="R189" s="304"/>
      <c r="S189" s="304"/>
      <c r="T189" s="37"/>
      <c r="U189" s="37"/>
      <c r="V189" s="37"/>
      <c r="W189" s="37"/>
      <c r="X189" s="37"/>
      <c r="Y189" s="37"/>
      <c r="Z189" s="37"/>
      <c r="AA189" s="37"/>
    </row>
    <row r="190" spans="2:27" x14ac:dyDescent="0.2">
      <c r="B190" s="37"/>
      <c r="C190" s="37"/>
      <c r="D190" s="37"/>
      <c r="E190" s="37"/>
      <c r="F190" s="38"/>
      <c r="G190" s="37"/>
      <c r="H190" s="37"/>
      <c r="I190" s="37"/>
      <c r="J190" s="37"/>
      <c r="K190" s="37"/>
      <c r="L190" s="304"/>
      <c r="M190" s="304"/>
      <c r="N190" s="304"/>
      <c r="O190" s="304"/>
      <c r="P190" s="304"/>
      <c r="Q190" s="304"/>
      <c r="R190" s="304"/>
      <c r="S190" s="304"/>
      <c r="T190" s="37"/>
      <c r="U190" s="37"/>
      <c r="V190" s="37"/>
      <c r="W190" s="37"/>
      <c r="X190" s="37"/>
      <c r="Y190" s="37"/>
      <c r="Z190" s="37"/>
      <c r="AA190" s="37"/>
    </row>
    <row r="191" spans="2:27" x14ac:dyDescent="0.2">
      <c r="B191" s="37"/>
      <c r="C191" s="37"/>
      <c r="D191" s="37"/>
      <c r="E191" s="37"/>
      <c r="F191" s="38"/>
      <c r="G191" s="37"/>
      <c r="H191" s="37"/>
      <c r="I191" s="37"/>
      <c r="J191" s="37"/>
      <c r="K191" s="37"/>
      <c r="L191" s="304"/>
      <c r="M191" s="304"/>
      <c r="N191" s="304"/>
      <c r="O191" s="304"/>
      <c r="P191" s="304"/>
      <c r="Q191" s="304"/>
      <c r="R191" s="304"/>
      <c r="S191" s="304"/>
      <c r="T191" s="37"/>
      <c r="U191" s="37"/>
      <c r="V191" s="37"/>
      <c r="W191" s="37"/>
      <c r="X191" s="37"/>
      <c r="Y191" s="37"/>
      <c r="Z191" s="37"/>
      <c r="AA191" s="37"/>
    </row>
    <row r="192" spans="2:27" x14ac:dyDescent="0.2">
      <c r="B192" s="37"/>
      <c r="C192" s="37"/>
      <c r="D192" s="37"/>
      <c r="E192" s="37"/>
      <c r="F192" s="38"/>
      <c r="G192" s="37"/>
      <c r="H192" s="37"/>
      <c r="I192" s="37"/>
      <c r="J192" s="37"/>
      <c r="K192" s="37"/>
      <c r="L192" s="304"/>
      <c r="M192" s="304"/>
      <c r="N192" s="304"/>
      <c r="O192" s="304"/>
      <c r="P192" s="304"/>
      <c r="Q192" s="304"/>
      <c r="R192" s="304"/>
      <c r="S192" s="304"/>
      <c r="T192" s="37"/>
      <c r="U192" s="37"/>
      <c r="V192" s="37"/>
      <c r="W192" s="37"/>
      <c r="X192" s="37"/>
      <c r="Y192" s="37"/>
      <c r="Z192" s="37"/>
      <c r="AA192" s="37"/>
    </row>
    <row r="193" spans="2:27" x14ac:dyDescent="0.2">
      <c r="B193" s="37"/>
      <c r="C193" s="37"/>
      <c r="D193" s="37"/>
      <c r="E193" s="37"/>
      <c r="F193" s="38"/>
      <c r="G193" s="37"/>
      <c r="H193" s="37"/>
      <c r="I193" s="37"/>
      <c r="J193" s="37"/>
      <c r="K193" s="37"/>
      <c r="L193" s="304"/>
      <c r="M193" s="304"/>
      <c r="N193" s="304"/>
      <c r="O193" s="304"/>
      <c r="P193" s="304"/>
      <c r="Q193" s="304"/>
      <c r="R193" s="304"/>
      <c r="S193" s="304"/>
      <c r="T193" s="37"/>
      <c r="U193" s="37"/>
      <c r="V193" s="37"/>
      <c r="W193" s="37"/>
      <c r="X193" s="37"/>
      <c r="Y193" s="37"/>
      <c r="Z193" s="37"/>
      <c r="AA193" s="37"/>
    </row>
    <row r="194" spans="2:27" x14ac:dyDescent="0.2">
      <c r="B194" s="37"/>
      <c r="C194" s="37"/>
      <c r="D194" s="37"/>
      <c r="E194" s="37"/>
      <c r="F194" s="38"/>
      <c r="G194" s="37"/>
      <c r="H194" s="37"/>
      <c r="I194" s="37"/>
      <c r="J194" s="37"/>
      <c r="K194" s="37"/>
      <c r="L194" s="304"/>
      <c r="M194" s="304"/>
      <c r="N194" s="304"/>
      <c r="O194" s="304"/>
      <c r="P194" s="304"/>
      <c r="Q194" s="304"/>
      <c r="R194" s="304"/>
      <c r="S194" s="304"/>
      <c r="T194" s="37"/>
      <c r="U194" s="37"/>
      <c r="V194" s="37"/>
      <c r="W194" s="37"/>
      <c r="X194" s="37"/>
      <c r="Y194" s="37"/>
      <c r="Z194" s="37"/>
      <c r="AA194" s="37"/>
    </row>
    <row r="195" spans="2:27" x14ac:dyDescent="0.2">
      <c r="B195" s="37"/>
      <c r="C195" s="37"/>
      <c r="D195" s="37"/>
      <c r="E195" s="37"/>
      <c r="F195" s="38"/>
      <c r="G195" s="37"/>
      <c r="H195" s="37"/>
      <c r="I195" s="37"/>
      <c r="J195" s="37"/>
      <c r="K195" s="37"/>
      <c r="L195" s="304"/>
      <c r="M195" s="304"/>
      <c r="N195" s="304"/>
      <c r="O195" s="304"/>
      <c r="P195" s="304"/>
      <c r="Q195" s="304"/>
      <c r="R195" s="304"/>
      <c r="S195" s="304"/>
      <c r="T195" s="37"/>
      <c r="U195" s="37"/>
      <c r="V195" s="37"/>
      <c r="W195" s="37"/>
      <c r="X195" s="37"/>
      <c r="Y195" s="37"/>
      <c r="Z195" s="37"/>
      <c r="AA195" s="37"/>
    </row>
    <row r="196" spans="2:27" x14ac:dyDescent="0.2">
      <c r="B196" s="37"/>
      <c r="C196" s="37"/>
      <c r="D196" s="37"/>
      <c r="E196" s="37"/>
      <c r="F196" s="38"/>
      <c r="G196" s="37"/>
      <c r="H196" s="37"/>
      <c r="I196" s="37"/>
      <c r="J196" s="37"/>
      <c r="K196" s="37"/>
      <c r="L196" s="304"/>
      <c r="M196" s="304"/>
      <c r="N196" s="304"/>
      <c r="O196" s="304"/>
      <c r="P196" s="304"/>
      <c r="Q196" s="304"/>
      <c r="R196" s="304"/>
      <c r="S196" s="304"/>
      <c r="T196" s="37"/>
      <c r="U196" s="37"/>
      <c r="V196" s="37"/>
      <c r="W196" s="37"/>
      <c r="X196" s="37"/>
      <c r="Y196" s="37"/>
      <c r="Z196" s="37"/>
      <c r="AA196" s="37"/>
    </row>
    <row r="197" spans="2:27" x14ac:dyDescent="0.2">
      <c r="B197" s="37"/>
      <c r="C197" s="37"/>
      <c r="D197" s="37"/>
      <c r="E197" s="37"/>
      <c r="F197" s="38"/>
      <c r="G197" s="37"/>
      <c r="H197" s="37"/>
      <c r="I197" s="37"/>
      <c r="J197" s="37"/>
      <c r="K197" s="37"/>
      <c r="L197" s="304"/>
      <c r="M197" s="304"/>
      <c r="N197" s="304"/>
      <c r="O197" s="304"/>
      <c r="P197" s="304"/>
      <c r="Q197" s="304"/>
      <c r="R197" s="304"/>
      <c r="S197" s="304"/>
      <c r="T197" s="37"/>
      <c r="U197" s="37"/>
      <c r="V197" s="37"/>
      <c r="W197" s="37"/>
      <c r="X197" s="37"/>
      <c r="Y197" s="37"/>
      <c r="Z197" s="37"/>
      <c r="AA197" s="37"/>
    </row>
    <row r="198" spans="2:27" x14ac:dyDescent="0.2">
      <c r="B198" s="37"/>
      <c r="C198" s="37"/>
      <c r="D198" s="37"/>
      <c r="E198" s="37"/>
      <c r="F198" s="38"/>
      <c r="G198" s="37"/>
      <c r="H198" s="37"/>
      <c r="I198" s="37"/>
      <c r="J198" s="37"/>
      <c r="K198" s="37"/>
      <c r="L198" s="304"/>
      <c r="M198" s="304"/>
      <c r="N198" s="304"/>
      <c r="O198" s="304"/>
      <c r="P198" s="304"/>
      <c r="Q198" s="304"/>
      <c r="R198" s="304"/>
      <c r="S198" s="304"/>
      <c r="T198" s="37"/>
      <c r="U198" s="37"/>
      <c r="V198" s="37"/>
      <c r="W198" s="37"/>
      <c r="X198" s="37"/>
      <c r="Y198" s="37"/>
      <c r="Z198" s="37"/>
      <c r="AA198" s="37"/>
    </row>
    <row r="199" spans="2:27" x14ac:dyDescent="0.2">
      <c r="B199" s="37"/>
      <c r="C199" s="37"/>
      <c r="D199" s="37"/>
      <c r="E199" s="37"/>
      <c r="F199" s="38"/>
      <c r="G199" s="37"/>
      <c r="H199" s="37"/>
      <c r="I199" s="37"/>
      <c r="J199" s="37"/>
      <c r="K199" s="37"/>
      <c r="L199" s="304"/>
      <c r="M199" s="304"/>
      <c r="N199" s="304"/>
      <c r="O199" s="304"/>
      <c r="P199" s="304"/>
      <c r="Q199" s="304"/>
      <c r="R199" s="304"/>
      <c r="S199" s="304"/>
      <c r="T199" s="37"/>
      <c r="U199" s="37"/>
      <c r="V199" s="37"/>
      <c r="W199" s="37"/>
      <c r="X199" s="37"/>
      <c r="Y199" s="37"/>
      <c r="Z199" s="37"/>
      <c r="AA199" s="37"/>
    </row>
    <row r="200" spans="2:27" x14ac:dyDescent="0.2">
      <c r="B200" s="37"/>
      <c r="C200" s="37"/>
      <c r="D200" s="37"/>
      <c r="E200" s="37"/>
      <c r="F200" s="38"/>
      <c r="G200" s="37"/>
      <c r="H200" s="37"/>
      <c r="I200" s="37"/>
      <c r="J200" s="37"/>
      <c r="K200" s="37"/>
      <c r="L200" s="304"/>
      <c r="M200" s="304"/>
      <c r="N200" s="304"/>
      <c r="O200" s="304"/>
      <c r="P200" s="304"/>
      <c r="Q200" s="304"/>
      <c r="R200" s="304"/>
      <c r="S200" s="304"/>
      <c r="T200" s="37"/>
      <c r="U200" s="37"/>
      <c r="V200" s="37"/>
      <c r="W200" s="37"/>
      <c r="X200" s="37"/>
      <c r="Y200" s="37"/>
      <c r="Z200" s="37"/>
      <c r="AA200" s="37"/>
    </row>
    <row r="201" spans="2:27" x14ac:dyDescent="0.2">
      <c r="B201" s="37"/>
      <c r="C201" s="37"/>
      <c r="D201" s="37"/>
      <c r="E201" s="37"/>
      <c r="F201" s="38"/>
      <c r="G201" s="37"/>
      <c r="H201" s="37"/>
      <c r="I201" s="37"/>
      <c r="J201" s="37"/>
      <c r="K201" s="37"/>
      <c r="L201" s="304"/>
      <c r="M201" s="304"/>
      <c r="N201" s="304"/>
      <c r="O201" s="304"/>
      <c r="P201" s="304"/>
      <c r="Q201" s="304"/>
      <c r="R201" s="304"/>
      <c r="S201" s="304"/>
      <c r="T201" s="37"/>
      <c r="U201" s="37"/>
      <c r="V201" s="37"/>
      <c r="W201" s="37"/>
      <c r="X201" s="37"/>
      <c r="Y201" s="37"/>
      <c r="Z201" s="37"/>
      <c r="AA201" s="37"/>
    </row>
    <row r="202" spans="2:27" x14ac:dyDescent="0.2"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04"/>
      <c r="M202" s="304"/>
      <c r="N202" s="304"/>
      <c r="O202" s="304"/>
      <c r="P202" s="304"/>
      <c r="Q202" s="304"/>
      <c r="R202" s="304"/>
      <c r="S202" s="304"/>
      <c r="T202" s="37"/>
      <c r="U202" s="37"/>
      <c r="V202" s="37"/>
      <c r="W202" s="37"/>
      <c r="X202" s="37"/>
      <c r="Y202" s="37"/>
      <c r="Z202" s="37"/>
      <c r="AA202" s="37"/>
    </row>
    <row r="203" spans="2:27" x14ac:dyDescent="0.2">
      <c r="B203" s="37"/>
      <c r="C203" s="37"/>
      <c r="D203" s="37"/>
      <c r="E203" s="37"/>
      <c r="F203" s="38"/>
      <c r="G203" s="37"/>
      <c r="H203" s="37"/>
      <c r="I203" s="37"/>
      <c r="J203" s="37"/>
      <c r="K203" s="37"/>
      <c r="L203" s="304"/>
      <c r="M203" s="304"/>
      <c r="N203" s="304"/>
      <c r="O203" s="304"/>
      <c r="P203" s="304"/>
      <c r="Q203" s="304"/>
      <c r="R203" s="304"/>
      <c r="S203" s="304"/>
      <c r="T203" s="37"/>
      <c r="U203" s="37"/>
      <c r="V203" s="37"/>
      <c r="W203" s="37"/>
      <c r="X203" s="37"/>
      <c r="Y203" s="37"/>
      <c r="Z203" s="37"/>
      <c r="AA203" s="37"/>
    </row>
    <row r="204" spans="2:27" x14ac:dyDescent="0.2">
      <c r="B204" s="37"/>
      <c r="C204" s="37"/>
      <c r="D204" s="37"/>
      <c r="E204" s="37"/>
      <c r="F204" s="38"/>
      <c r="G204" s="37"/>
      <c r="H204" s="37"/>
      <c r="I204" s="37"/>
      <c r="J204" s="37"/>
      <c r="K204" s="37"/>
      <c r="L204" s="304"/>
      <c r="M204" s="304"/>
      <c r="N204" s="304"/>
      <c r="O204" s="304"/>
      <c r="P204" s="304"/>
      <c r="Q204" s="304"/>
      <c r="R204" s="304"/>
      <c r="S204" s="304"/>
      <c r="T204" s="37"/>
      <c r="U204" s="37"/>
      <c r="V204" s="37"/>
      <c r="W204" s="37"/>
      <c r="X204" s="37"/>
      <c r="Y204" s="37"/>
      <c r="Z204" s="37"/>
      <c r="AA204" s="37"/>
    </row>
    <row r="205" spans="2:27" x14ac:dyDescent="0.2">
      <c r="B205" s="37"/>
      <c r="C205" s="37"/>
      <c r="D205" s="37"/>
      <c r="E205" s="37"/>
      <c r="F205" s="38"/>
      <c r="G205" s="37"/>
      <c r="H205" s="37"/>
      <c r="I205" s="37"/>
      <c r="J205" s="37"/>
      <c r="K205" s="37"/>
      <c r="L205" s="304"/>
      <c r="M205" s="304"/>
      <c r="N205" s="304"/>
      <c r="O205" s="304"/>
      <c r="P205" s="304"/>
      <c r="Q205" s="304"/>
      <c r="R205" s="304"/>
      <c r="S205" s="304"/>
      <c r="T205" s="37"/>
      <c r="U205" s="37"/>
      <c r="V205" s="37"/>
      <c r="W205" s="37"/>
      <c r="X205" s="37"/>
      <c r="Y205" s="37"/>
      <c r="Z205" s="37"/>
      <c r="AA205" s="37"/>
    </row>
    <row r="206" spans="2:27" x14ac:dyDescent="0.2">
      <c r="B206" s="37"/>
      <c r="C206" s="37"/>
      <c r="D206" s="37"/>
      <c r="E206" s="37"/>
      <c r="F206" s="38"/>
      <c r="G206" s="37"/>
      <c r="H206" s="37"/>
      <c r="I206" s="37"/>
      <c r="J206" s="37"/>
      <c r="K206" s="37"/>
      <c r="L206" s="304"/>
      <c r="M206" s="304"/>
      <c r="N206" s="304"/>
      <c r="O206" s="304"/>
      <c r="P206" s="304"/>
      <c r="Q206" s="304"/>
      <c r="R206" s="304"/>
      <c r="S206" s="304"/>
      <c r="T206" s="37"/>
      <c r="U206" s="37"/>
      <c r="V206" s="37"/>
      <c r="W206" s="37"/>
      <c r="X206" s="37"/>
      <c r="Y206" s="37"/>
      <c r="Z206" s="37"/>
      <c r="AA206" s="37"/>
    </row>
    <row r="207" spans="2:27" x14ac:dyDescent="0.2">
      <c r="B207" s="37"/>
      <c r="C207" s="37"/>
      <c r="D207" s="37"/>
      <c r="E207" s="37"/>
      <c r="F207" s="38"/>
      <c r="G207" s="37"/>
      <c r="H207" s="37"/>
      <c r="I207" s="37"/>
      <c r="J207" s="37"/>
      <c r="K207" s="37"/>
      <c r="L207" s="304"/>
      <c r="M207" s="304"/>
      <c r="N207" s="304"/>
      <c r="O207" s="304"/>
      <c r="P207" s="304"/>
      <c r="Q207" s="304"/>
      <c r="R207" s="304"/>
      <c r="S207" s="304"/>
      <c r="T207" s="37"/>
      <c r="U207" s="37"/>
      <c r="V207" s="37"/>
      <c r="W207" s="37"/>
      <c r="X207" s="37"/>
      <c r="Y207" s="37"/>
      <c r="Z207" s="37"/>
      <c r="AA207" s="37"/>
    </row>
    <row r="208" spans="2:27" x14ac:dyDescent="0.2">
      <c r="B208" s="37"/>
      <c r="C208" s="37"/>
      <c r="D208" s="37"/>
      <c r="E208" s="37"/>
      <c r="F208" s="38"/>
      <c r="G208" s="37"/>
      <c r="H208" s="37"/>
      <c r="I208" s="37"/>
      <c r="J208" s="37"/>
      <c r="K208" s="37"/>
      <c r="L208" s="304"/>
      <c r="M208" s="304"/>
      <c r="N208" s="304"/>
      <c r="O208" s="304"/>
      <c r="P208" s="304"/>
      <c r="Q208" s="304"/>
      <c r="R208" s="304"/>
      <c r="S208" s="304"/>
      <c r="T208" s="37"/>
      <c r="U208" s="37"/>
      <c r="V208" s="37"/>
      <c r="W208" s="37"/>
      <c r="X208" s="37"/>
      <c r="Y208" s="37"/>
      <c r="Z208" s="37"/>
      <c r="AA208" s="37"/>
    </row>
    <row r="209" spans="2:27" x14ac:dyDescent="0.2">
      <c r="B209" s="37"/>
      <c r="C209" s="37"/>
      <c r="D209" s="37"/>
      <c r="E209" s="37"/>
      <c r="F209" s="38"/>
      <c r="G209" s="37"/>
      <c r="H209" s="37"/>
      <c r="I209" s="37"/>
      <c r="J209" s="37"/>
      <c r="K209" s="37"/>
      <c r="L209" s="304"/>
      <c r="M209" s="304"/>
      <c r="N209" s="304"/>
      <c r="O209" s="304"/>
      <c r="P209" s="304"/>
      <c r="Q209" s="304"/>
      <c r="R209" s="304"/>
      <c r="S209" s="304"/>
      <c r="T209" s="37"/>
      <c r="U209" s="37"/>
      <c r="V209" s="37"/>
      <c r="W209" s="37"/>
      <c r="X209" s="37"/>
      <c r="Y209" s="37"/>
      <c r="Z209" s="37"/>
      <c r="AA209" s="37"/>
    </row>
    <row r="210" spans="2:27" x14ac:dyDescent="0.2">
      <c r="B210" s="37"/>
      <c r="C210" s="37"/>
      <c r="D210" s="37"/>
      <c r="E210" s="37"/>
      <c r="F210" s="38"/>
      <c r="G210" s="37"/>
      <c r="H210" s="37"/>
      <c r="I210" s="37"/>
      <c r="J210" s="37"/>
      <c r="K210" s="37"/>
      <c r="L210" s="304"/>
      <c r="M210" s="304"/>
      <c r="N210" s="304"/>
      <c r="O210" s="304"/>
      <c r="P210" s="304"/>
      <c r="Q210" s="304"/>
      <c r="R210" s="304"/>
      <c r="S210" s="304"/>
      <c r="T210" s="37"/>
      <c r="U210" s="37"/>
      <c r="V210" s="37"/>
      <c r="W210" s="37"/>
      <c r="X210" s="37"/>
      <c r="Y210" s="37"/>
      <c r="Z210" s="37"/>
      <c r="AA210" s="37"/>
    </row>
    <row r="211" spans="2:27" x14ac:dyDescent="0.2">
      <c r="B211" s="37"/>
      <c r="C211" s="37"/>
      <c r="D211" s="37"/>
      <c r="E211" s="37"/>
      <c r="F211" s="38"/>
      <c r="G211" s="37"/>
      <c r="H211" s="37"/>
      <c r="I211" s="37"/>
      <c r="J211" s="37"/>
      <c r="K211" s="37"/>
      <c r="L211" s="304"/>
      <c r="M211" s="304"/>
      <c r="N211" s="304"/>
      <c r="O211" s="304"/>
      <c r="P211" s="304"/>
      <c r="Q211" s="304"/>
      <c r="R211" s="304"/>
      <c r="S211" s="304"/>
      <c r="T211" s="37"/>
      <c r="U211" s="37"/>
      <c r="V211" s="37"/>
      <c r="W211" s="37"/>
      <c r="X211" s="37"/>
      <c r="Y211" s="37"/>
      <c r="Z211" s="37"/>
      <c r="AA211" s="37"/>
    </row>
    <row r="212" spans="2:27" x14ac:dyDescent="0.2">
      <c r="B212" s="37"/>
      <c r="C212" s="37"/>
      <c r="D212" s="37"/>
      <c r="E212" s="37"/>
      <c r="F212" s="38"/>
      <c r="G212" s="37"/>
      <c r="H212" s="37"/>
      <c r="I212" s="37"/>
      <c r="J212" s="37"/>
      <c r="K212" s="37"/>
      <c r="L212" s="304"/>
      <c r="M212" s="304"/>
      <c r="N212" s="304"/>
      <c r="O212" s="304"/>
      <c r="P212" s="304"/>
      <c r="Q212" s="304"/>
      <c r="R212" s="304"/>
      <c r="S212" s="304"/>
      <c r="T212" s="37"/>
      <c r="U212" s="37"/>
      <c r="V212" s="37"/>
      <c r="W212" s="37"/>
      <c r="X212" s="37"/>
      <c r="Y212" s="37"/>
      <c r="Z212" s="37"/>
      <c r="AA212" s="37"/>
    </row>
    <row r="213" spans="2:27" x14ac:dyDescent="0.2">
      <c r="B213" s="37"/>
      <c r="C213" s="37"/>
      <c r="D213" s="37"/>
      <c r="E213" s="37"/>
      <c r="F213" s="38"/>
      <c r="G213" s="37"/>
      <c r="H213" s="37"/>
      <c r="I213" s="37"/>
      <c r="J213" s="37"/>
      <c r="K213" s="37"/>
      <c r="L213" s="304"/>
      <c r="M213" s="304"/>
      <c r="N213" s="304"/>
      <c r="O213" s="304"/>
      <c r="P213" s="304"/>
      <c r="Q213" s="304"/>
      <c r="R213" s="304"/>
      <c r="S213" s="304"/>
      <c r="T213" s="37"/>
      <c r="U213" s="37"/>
      <c r="V213" s="37"/>
      <c r="W213" s="37"/>
      <c r="X213" s="37"/>
      <c r="Y213" s="37"/>
      <c r="Z213" s="37"/>
      <c r="AA213" s="37"/>
    </row>
    <row r="214" spans="2:27" x14ac:dyDescent="0.2">
      <c r="B214" s="37"/>
      <c r="C214" s="37"/>
      <c r="D214" s="37"/>
      <c r="E214" s="37"/>
      <c r="F214" s="38"/>
      <c r="G214" s="37"/>
      <c r="H214" s="37"/>
      <c r="I214" s="37"/>
      <c r="J214" s="37"/>
      <c r="K214" s="37"/>
      <c r="L214" s="304"/>
      <c r="M214" s="304"/>
      <c r="N214" s="304"/>
      <c r="O214" s="304"/>
      <c r="P214" s="304"/>
      <c r="Q214" s="304"/>
      <c r="R214" s="304"/>
      <c r="S214" s="304"/>
      <c r="T214" s="37"/>
      <c r="U214" s="37"/>
      <c r="V214" s="37"/>
      <c r="W214" s="37"/>
      <c r="X214" s="37"/>
      <c r="Y214" s="37"/>
      <c r="Z214" s="37"/>
      <c r="AA214" s="37"/>
    </row>
    <row r="215" spans="2:27" x14ac:dyDescent="0.2">
      <c r="B215" s="37"/>
      <c r="C215" s="37"/>
      <c r="D215" s="37"/>
      <c r="E215" s="37"/>
      <c r="F215" s="38"/>
      <c r="G215" s="37"/>
      <c r="H215" s="37"/>
      <c r="I215" s="37"/>
      <c r="J215" s="37"/>
      <c r="K215" s="37"/>
      <c r="L215" s="304"/>
      <c r="M215" s="304"/>
      <c r="N215" s="304"/>
      <c r="O215" s="304"/>
      <c r="P215" s="304"/>
      <c r="Q215" s="304"/>
      <c r="R215" s="304"/>
      <c r="S215" s="304"/>
      <c r="T215" s="37"/>
      <c r="U215" s="37"/>
      <c r="V215" s="37"/>
      <c r="W215" s="37"/>
      <c r="X215" s="37"/>
      <c r="Y215" s="37"/>
      <c r="Z215" s="37"/>
      <c r="AA215" s="37"/>
    </row>
    <row r="216" spans="2:27" x14ac:dyDescent="0.2">
      <c r="B216" s="37"/>
      <c r="C216" s="37"/>
      <c r="D216" s="37"/>
      <c r="E216" s="37"/>
      <c r="F216" s="38"/>
      <c r="G216" s="37"/>
      <c r="H216" s="37"/>
      <c r="I216" s="37"/>
      <c r="J216" s="37"/>
      <c r="K216" s="37"/>
      <c r="L216" s="304"/>
      <c r="M216" s="304"/>
      <c r="N216" s="304"/>
      <c r="O216" s="304"/>
      <c r="P216" s="304"/>
      <c r="Q216" s="304"/>
      <c r="R216" s="304"/>
      <c r="S216" s="304"/>
      <c r="T216" s="37"/>
      <c r="U216" s="37"/>
      <c r="V216" s="37"/>
      <c r="W216" s="37"/>
      <c r="X216" s="37"/>
      <c r="Y216" s="37"/>
      <c r="Z216" s="37"/>
      <c r="AA216" s="37"/>
    </row>
    <row r="217" spans="2:27" x14ac:dyDescent="0.2">
      <c r="B217" s="37"/>
      <c r="C217" s="37"/>
      <c r="D217" s="37"/>
      <c r="E217" s="37"/>
      <c r="F217" s="38"/>
      <c r="G217" s="37"/>
      <c r="H217" s="37"/>
      <c r="I217" s="37"/>
      <c r="J217" s="37"/>
      <c r="K217" s="37"/>
      <c r="L217" s="304"/>
      <c r="M217" s="304"/>
      <c r="N217" s="304"/>
      <c r="O217" s="304"/>
      <c r="P217" s="304"/>
      <c r="Q217" s="304"/>
      <c r="R217" s="304"/>
      <c r="S217" s="304"/>
      <c r="T217" s="37"/>
      <c r="U217" s="37"/>
      <c r="V217" s="37"/>
      <c r="W217" s="37"/>
      <c r="X217" s="37"/>
      <c r="Y217" s="37"/>
      <c r="Z217" s="37"/>
      <c r="AA217" s="37"/>
    </row>
    <row r="218" spans="2:27" x14ac:dyDescent="0.2">
      <c r="B218" s="37"/>
      <c r="C218" s="37"/>
      <c r="D218" s="37"/>
      <c r="E218" s="37"/>
      <c r="F218" s="38"/>
      <c r="G218" s="37"/>
      <c r="H218" s="37"/>
      <c r="I218" s="37"/>
      <c r="J218" s="37"/>
      <c r="K218" s="37"/>
      <c r="L218" s="304"/>
      <c r="M218" s="304"/>
      <c r="N218" s="304"/>
      <c r="O218" s="304"/>
      <c r="P218" s="304"/>
      <c r="Q218" s="304"/>
      <c r="R218" s="304"/>
      <c r="S218" s="304"/>
      <c r="T218" s="37"/>
      <c r="U218" s="37"/>
      <c r="V218" s="37"/>
      <c r="W218" s="37"/>
      <c r="X218" s="37"/>
      <c r="Y218" s="37"/>
      <c r="Z218" s="37"/>
      <c r="AA218" s="37"/>
    </row>
    <row r="219" spans="2:27" x14ac:dyDescent="0.2">
      <c r="B219" s="37"/>
      <c r="C219" s="37"/>
      <c r="D219" s="37"/>
      <c r="E219" s="37"/>
      <c r="F219" s="38"/>
      <c r="G219" s="37"/>
      <c r="H219" s="37"/>
      <c r="I219" s="37"/>
      <c r="J219" s="37"/>
      <c r="K219" s="37"/>
      <c r="L219" s="304"/>
      <c r="M219" s="304"/>
      <c r="N219" s="304"/>
      <c r="O219" s="304"/>
      <c r="P219" s="304"/>
      <c r="Q219" s="304"/>
      <c r="R219" s="304"/>
      <c r="S219" s="304"/>
      <c r="T219" s="37"/>
      <c r="U219" s="37"/>
      <c r="V219" s="37"/>
      <c r="W219" s="37"/>
      <c r="X219" s="37"/>
      <c r="Y219" s="37"/>
      <c r="Z219" s="37"/>
      <c r="AA219" s="37"/>
    </row>
    <row r="220" spans="2:27" x14ac:dyDescent="0.2">
      <c r="B220" s="37"/>
      <c r="C220" s="37"/>
      <c r="D220" s="37"/>
      <c r="E220" s="37"/>
      <c r="F220" s="38"/>
      <c r="G220" s="37"/>
      <c r="H220" s="37"/>
      <c r="I220" s="37"/>
      <c r="J220" s="37"/>
      <c r="K220" s="37"/>
      <c r="L220" s="304"/>
      <c r="M220" s="304"/>
      <c r="N220" s="304"/>
      <c r="O220" s="304"/>
      <c r="P220" s="304"/>
      <c r="Q220" s="304"/>
      <c r="R220" s="304"/>
      <c r="S220" s="304"/>
      <c r="T220" s="37"/>
      <c r="U220" s="37"/>
      <c r="V220" s="37"/>
      <c r="W220" s="37"/>
      <c r="X220" s="37"/>
      <c r="Y220" s="37"/>
      <c r="Z220" s="37"/>
      <c r="AA220" s="37"/>
    </row>
    <row r="221" spans="2:27" x14ac:dyDescent="0.2">
      <c r="B221" s="37"/>
      <c r="C221" s="37"/>
      <c r="D221" s="37"/>
      <c r="E221" s="37"/>
      <c r="F221" s="38"/>
      <c r="G221" s="37"/>
      <c r="H221" s="37"/>
      <c r="I221" s="37"/>
      <c r="J221" s="37"/>
      <c r="K221" s="37"/>
      <c r="L221" s="304"/>
      <c r="M221" s="304"/>
      <c r="N221" s="304"/>
      <c r="O221" s="304"/>
      <c r="P221" s="304"/>
      <c r="Q221" s="304"/>
      <c r="R221" s="304"/>
      <c r="S221" s="304"/>
      <c r="T221" s="37"/>
      <c r="U221" s="37"/>
      <c r="V221" s="37"/>
      <c r="W221" s="37"/>
      <c r="X221" s="37"/>
      <c r="Y221" s="37"/>
      <c r="Z221" s="37"/>
      <c r="AA221" s="37"/>
    </row>
    <row r="222" spans="2:27" x14ac:dyDescent="0.2">
      <c r="B222" s="37"/>
      <c r="C222" s="37"/>
      <c r="D222" s="37"/>
      <c r="E222" s="37"/>
      <c r="F222" s="38"/>
      <c r="G222" s="37"/>
      <c r="H222" s="37"/>
      <c r="I222" s="37"/>
      <c r="J222" s="37"/>
      <c r="K222" s="37"/>
      <c r="L222" s="304"/>
      <c r="M222" s="304"/>
      <c r="N222" s="304"/>
      <c r="O222" s="304"/>
      <c r="P222" s="304"/>
      <c r="Q222" s="304"/>
      <c r="R222" s="304"/>
      <c r="S222" s="304"/>
      <c r="T222" s="37"/>
      <c r="U222" s="37"/>
      <c r="V222" s="37"/>
      <c r="W222" s="37"/>
      <c r="X222" s="37"/>
      <c r="Y222" s="37"/>
      <c r="Z222" s="37"/>
      <c r="AA222" s="37"/>
    </row>
    <row r="223" spans="2:27" x14ac:dyDescent="0.2">
      <c r="B223" s="37"/>
      <c r="C223" s="37"/>
      <c r="D223" s="37"/>
      <c r="E223" s="37"/>
      <c r="F223" s="38"/>
      <c r="G223" s="37"/>
      <c r="H223" s="37"/>
      <c r="I223" s="37"/>
      <c r="J223" s="37"/>
      <c r="K223" s="37"/>
      <c r="L223" s="304"/>
      <c r="M223" s="304"/>
      <c r="N223" s="304"/>
      <c r="O223" s="304"/>
      <c r="P223" s="304"/>
      <c r="Q223" s="304"/>
      <c r="R223" s="304"/>
      <c r="S223" s="304"/>
      <c r="T223" s="37"/>
      <c r="U223" s="37"/>
      <c r="V223" s="37"/>
      <c r="W223" s="37"/>
      <c r="X223" s="37"/>
      <c r="Y223" s="37"/>
      <c r="Z223" s="37"/>
      <c r="AA223" s="37"/>
    </row>
    <row r="224" spans="2:27" x14ac:dyDescent="0.2">
      <c r="B224" s="37"/>
      <c r="C224" s="37"/>
      <c r="D224" s="37"/>
      <c r="E224" s="37"/>
      <c r="F224" s="38"/>
      <c r="G224" s="37"/>
      <c r="H224" s="37"/>
      <c r="I224" s="37"/>
      <c r="J224" s="37"/>
      <c r="K224" s="37"/>
      <c r="L224" s="304"/>
      <c r="M224" s="304"/>
      <c r="N224" s="304"/>
      <c r="O224" s="304"/>
      <c r="P224" s="304"/>
      <c r="Q224" s="304"/>
      <c r="R224" s="304"/>
      <c r="S224" s="304"/>
      <c r="T224" s="37"/>
      <c r="U224" s="37"/>
      <c r="V224" s="37"/>
      <c r="W224" s="37"/>
      <c r="X224" s="37"/>
      <c r="Y224" s="37"/>
      <c r="Z224" s="37"/>
      <c r="AA224" s="37"/>
    </row>
    <row r="225" spans="2:27" x14ac:dyDescent="0.2">
      <c r="B225" s="37"/>
      <c r="C225" s="37"/>
      <c r="D225" s="37"/>
      <c r="E225" s="37"/>
      <c r="F225" s="38"/>
      <c r="G225" s="37"/>
      <c r="H225" s="37"/>
      <c r="I225" s="37"/>
      <c r="J225" s="37"/>
      <c r="K225" s="37"/>
      <c r="L225" s="304"/>
      <c r="M225" s="304"/>
      <c r="N225" s="304"/>
      <c r="O225" s="304"/>
      <c r="P225" s="304"/>
      <c r="Q225" s="304"/>
      <c r="R225" s="304"/>
      <c r="S225" s="304"/>
      <c r="T225" s="37"/>
      <c r="U225" s="37"/>
      <c r="V225" s="37"/>
      <c r="W225" s="37"/>
      <c r="X225" s="37"/>
      <c r="Y225" s="37"/>
      <c r="Z225" s="37"/>
      <c r="AA225" s="37"/>
    </row>
    <row r="226" spans="2:27" x14ac:dyDescent="0.2">
      <c r="B226" s="37"/>
      <c r="C226" s="37"/>
      <c r="D226" s="37"/>
      <c r="E226" s="37"/>
      <c r="F226" s="38"/>
      <c r="G226" s="37"/>
      <c r="H226" s="37"/>
      <c r="I226" s="37"/>
      <c r="J226" s="37"/>
      <c r="K226" s="37"/>
      <c r="L226" s="304"/>
      <c r="M226" s="304"/>
      <c r="N226" s="304"/>
      <c r="O226" s="304"/>
      <c r="P226" s="304"/>
      <c r="Q226" s="304"/>
      <c r="R226" s="304"/>
      <c r="S226" s="304"/>
      <c r="T226" s="37"/>
      <c r="U226" s="37"/>
      <c r="V226" s="37"/>
      <c r="W226" s="37"/>
      <c r="X226" s="37"/>
      <c r="Y226" s="37"/>
      <c r="Z226" s="37"/>
      <c r="AA226" s="37"/>
    </row>
    <row r="227" spans="2:27" x14ac:dyDescent="0.2">
      <c r="B227" s="37"/>
      <c r="C227" s="37"/>
      <c r="D227" s="37"/>
      <c r="E227" s="37"/>
      <c r="F227" s="38"/>
      <c r="G227" s="37"/>
      <c r="H227" s="37"/>
      <c r="I227" s="37"/>
      <c r="J227" s="37"/>
      <c r="K227" s="37"/>
      <c r="L227" s="304"/>
      <c r="M227" s="304"/>
      <c r="N227" s="304"/>
      <c r="O227" s="304"/>
      <c r="P227" s="304"/>
      <c r="Q227" s="304"/>
      <c r="R227" s="304"/>
      <c r="S227" s="304"/>
      <c r="T227" s="37"/>
      <c r="U227" s="37"/>
      <c r="V227" s="37"/>
      <c r="W227" s="37"/>
      <c r="X227" s="37"/>
      <c r="Y227" s="37"/>
      <c r="Z227" s="37"/>
      <c r="AA227" s="37"/>
    </row>
    <row r="228" spans="2:27" x14ac:dyDescent="0.2">
      <c r="B228" s="37"/>
      <c r="C228" s="37"/>
      <c r="D228" s="37"/>
      <c r="E228" s="37"/>
      <c r="F228" s="38"/>
      <c r="G228" s="37"/>
      <c r="H228" s="37"/>
      <c r="I228" s="37"/>
      <c r="J228" s="37"/>
      <c r="K228" s="37"/>
      <c r="L228" s="304"/>
      <c r="M228" s="304"/>
      <c r="N228" s="304"/>
      <c r="O228" s="304"/>
      <c r="P228" s="304"/>
      <c r="Q228" s="304"/>
      <c r="R228" s="304"/>
      <c r="S228" s="304"/>
      <c r="T228" s="37"/>
      <c r="U228" s="37"/>
      <c r="V228" s="37"/>
      <c r="W228" s="37"/>
      <c r="X228" s="37"/>
      <c r="Y228" s="37"/>
      <c r="Z228" s="37"/>
      <c r="AA228" s="37"/>
    </row>
    <row r="229" spans="2:27" x14ac:dyDescent="0.2">
      <c r="B229" s="37"/>
      <c r="C229" s="37"/>
      <c r="D229" s="37"/>
      <c r="E229" s="37"/>
      <c r="F229" s="38"/>
      <c r="G229" s="37"/>
      <c r="H229" s="37"/>
      <c r="I229" s="37"/>
      <c r="J229" s="37"/>
      <c r="K229" s="37"/>
      <c r="L229" s="304"/>
      <c r="M229" s="304"/>
      <c r="N229" s="304"/>
      <c r="O229" s="304"/>
      <c r="P229" s="304"/>
      <c r="Q229" s="304"/>
      <c r="R229" s="304"/>
      <c r="S229" s="304"/>
      <c r="T229" s="37"/>
      <c r="U229" s="37"/>
      <c r="V229" s="37"/>
      <c r="W229" s="37"/>
      <c r="X229" s="37"/>
      <c r="Y229" s="37"/>
      <c r="Z229" s="37"/>
      <c r="AA229" s="37"/>
    </row>
    <row r="230" spans="2:27" x14ac:dyDescent="0.2">
      <c r="B230" s="37"/>
      <c r="C230" s="37"/>
      <c r="D230" s="37"/>
      <c r="E230" s="37"/>
      <c r="F230" s="38"/>
      <c r="G230" s="37"/>
      <c r="H230" s="37"/>
      <c r="I230" s="37"/>
      <c r="J230" s="37"/>
      <c r="K230" s="37"/>
      <c r="L230" s="304"/>
      <c r="M230" s="304"/>
      <c r="N230" s="304"/>
      <c r="O230" s="304"/>
      <c r="P230" s="304"/>
      <c r="Q230" s="304"/>
      <c r="R230" s="304"/>
      <c r="S230" s="304"/>
      <c r="T230" s="37"/>
      <c r="U230" s="37"/>
      <c r="V230" s="37"/>
      <c r="W230" s="37"/>
      <c r="X230" s="37"/>
      <c r="Y230" s="37"/>
      <c r="Z230" s="37"/>
      <c r="AA230" s="37"/>
    </row>
    <row r="231" spans="2:27" x14ac:dyDescent="0.2">
      <c r="B231" s="37"/>
      <c r="C231" s="37"/>
      <c r="D231" s="37"/>
      <c r="E231" s="37"/>
      <c r="F231" s="38"/>
      <c r="G231" s="37"/>
      <c r="H231" s="37"/>
      <c r="I231" s="37"/>
      <c r="J231" s="37"/>
      <c r="K231" s="37"/>
      <c r="L231" s="304"/>
      <c r="M231" s="304"/>
      <c r="N231" s="304"/>
      <c r="O231" s="304"/>
      <c r="P231" s="304"/>
      <c r="Q231" s="304"/>
      <c r="R231" s="304"/>
      <c r="S231" s="304"/>
      <c r="T231" s="37"/>
      <c r="U231" s="37"/>
      <c r="V231" s="37"/>
      <c r="W231" s="37"/>
      <c r="X231" s="37"/>
      <c r="Y231" s="37"/>
      <c r="Z231" s="37"/>
      <c r="AA231" s="37"/>
    </row>
    <row r="232" spans="2:27" x14ac:dyDescent="0.2">
      <c r="B232" s="37"/>
      <c r="C232" s="37"/>
      <c r="D232" s="37"/>
      <c r="E232" s="37"/>
      <c r="F232" s="38"/>
      <c r="G232" s="37"/>
      <c r="H232" s="37"/>
      <c r="I232" s="37"/>
      <c r="J232" s="37"/>
      <c r="K232" s="37"/>
      <c r="L232" s="304"/>
      <c r="M232" s="304"/>
      <c r="N232" s="304"/>
      <c r="O232" s="304"/>
      <c r="P232" s="304"/>
      <c r="Q232" s="304"/>
      <c r="R232" s="304"/>
      <c r="S232" s="304"/>
      <c r="T232" s="37"/>
      <c r="U232" s="37"/>
      <c r="V232" s="37"/>
      <c r="W232" s="37"/>
      <c r="X232" s="37"/>
      <c r="Y232" s="37"/>
      <c r="Z232" s="37"/>
      <c r="AA232" s="37"/>
    </row>
    <row r="233" spans="2:27" x14ac:dyDescent="0.2">
      <c r="B233" s="37"/>
      <c r="C233" s="37"/>
      <c r="D233" s="37"/>
      <c r="E233" s="37"/>
      <c r="F233" s="38"/>
      <c r="G233" s="37"/>
      <c r="H233" s="37"/>
      <c r="I233" s="37"/>
      <c r="J233" s="37"/>
      <c r="K233" s="37"/>
      <c r="L233" s="304"/>
      <c r="M233" s="304"/>
      <c r="N233" s="304"/>
      <c r="O233" s="304"/>
      <c r="P233" s="304"/>
      <c r="Q233" s="304"/>
      <c r="R233" s="304"/>
      <c r="S233" s="304"/>
      <c r="T233" s="37"/>
      <c r="U233" s="37"/>
      <c r="V233" s="37"/>
      <c r="W233" s="37"/>
      <c r="X233" s="37"/>
      <c r="Y233" s="37"/>
      <c r="Z233" s="37"/>
      <c r="AA233" s="37"/>
    </row>
    <row r="234" spans="2:27" x14ac:dyDescent="0.2">
      <c r="B234" s="37"/>
      <c r="C234" s="37"/>
      <c r="D234" s="37"/>
      <c r="E234" s="37"/>
      <c r="F234" s="38"/>
      <c r="G234" s="37"/>
      <c r="H234" s="37"/>
      <c r="I234" s="37"/>
      <c r="J234" s="37"/>
      <c r="K234" s="37"/>
      <c r="L234" s="304"/>
      <c r="M234" s="304"/>
      <c r="N234" s="304"/>
      <c r="O234" s="304"/>
      <c r="P234" s="304"/>
      <c r="Q234" s="304"/>
      <c r="R234" s="304"/>
      <c r="S234" s="304"/>
      <c r="T234" s="37"/>
      <c r="U234" s="37"/>
      <c r="V234" s="37"/>
      <c r="W234" s="37"/>
      <c r="X234" s="37"/>
      <c r="Y234" s="37"/>
      <c r="Z234" s="37"/>
      <c r="AA234" s="37"/>
    </row>
    <row r="235" spans="2:27" x14ac:dyDescent="0.2">
      <c r="B235" s="37"/>
      <c r="C235" s="37"/>
      <c r="D235" s="37"/>
      <c r="E235" s="37"/>
      <c r="F235" s="38"/>
      <c r="G235" s="37"/>
      <c r="H235" s="37"/>
      <c r="I235" s="37"/>
      <c r="J235" s="37"/>
      <c r="K235" s="37"/>
      <c r="L235" s="304"/>
      <c r="M235" s="304"/>
      <c r="N235" s="304"/>
      <c r="O235" s="304"/>
      <c r="P235" s="304"/>
      <c r="Q235" s="304"/>
      <c r="R235" s="304"/>
      <c r="S235" s="304"/>
      <c r="T235" s="37"/>
      <c r="U235" s="37"/>
      <c r="V235" s="37"/>
      <c r="W235" s="37"/>
      <c r="X235" s="37"/>
      <c r="Y235" s="37"/>
      <c r="Z235" s="37"/>
      <c r="AA235" s="37"/>
    </row>
    <row r="236" spans="2:27" x14ac:dyDescent="0.2">
      <c r="B236" s="37"/>
      <c r="C236" s="37"/>
      <c r="D236" s="37"/>
      <c r="E236" s="37"/>
      <c r="F236" s="38"/>
      <c r="G236" s="37"/>
      <c r="H236" s="37"/>
      <c r="I236" s="37"/>
      <c r="J236" s="37"/>
      <c r="K236" s="37"/>
      <c r="L236" s="304"/>
      <c r="M236" s="304"/>
      <c r="N236" s="304"/>
      <c r="O236" s="304"/>
      <c r="P236" s="304"/>
      <c r="Q236" s="304"/>
      <c r="R236" s="304"/>
      <c r="S236" s="304"/>
      <c r="T236" s="37"/>
      <c r="U236" s="37"/>
      <c r="V236" s="37"/>
      <c r="W236" s="37"/>
      <c r="X236" s="37"/>
      <c r="Y236" s="37"/>
      <c r="Z236" s="37"/>
      <c r="AA236" s="37"/>
    </row>
  </sheetData>
  <mergeCells count="1">
    <mergeCell ref="B8:G8"/>
  </mergeCells>
  <phoneticPr fontId="0" type="noConversion"/>
  <printOptions horizontalCentered="1"/>
  <pageMargins left="0.7" right="0.7" top="0.75" bottom="1" header="0.5" footer="0.5"/>
  <pageSetup scale="63" fitToHeight="2" orientation="portrait" r:id="rId1"/>
  <headerFooter alignWithMargins="0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2:AY204"/>
  <sheetViews>
    <sheetView showGridLines="0" zoomScaleNormal="100" workbookViewId="0">
      <selection activeCell="B124" sqref="B124"/>
    </sheetView>
  </sheetViews>
  <sheetFormatPr defaultColWidth="13.7109375" defaultRowHeight="12.75" x14ac:dyDescent="0.2"/>
  <cols>
    <col min="1" max="1" width="30.28515625" style="52" customWidth="1"/>
    <col min="2" max="10" width="10.7109375" customWidth="1"/>
    <col min="11" max="11" width="12.5703125" style="1" customWidth="1"/>
    <col min="12" max="12" width="13.7109375" customWidth="1"/>
    <col min="13" max="13" width="29.28515625" style="52" customWidth="1"/>
    <col min="14" max="17" width="13.7109375" style="52" customWidth="1"/>
    <col min="18" max="25" width="12.7109375" style="52" customWidth="1"/>
    <col min="26" max="51" width="13.7109375" style="52" customWidth="1"/>
  </cols>
  <sheetData>
    <row r="2" spans="1:24" x14ac:dyDescent="0.2">
      <c r="K2" s="250" t="s">
        <v>200</v>
      </c>
      <c r="W2" s="250" t="s">
        <v>200</v>
      </c>
    </row>
    <row r="3" spans="1:24" x14ac:dyDescent="0.2">
      <c r="K3" s="251" t="s">
        <v>194</v>
      </c>
      <c r="W3" s="251" t="s">
        <v>197</v>
      </c>
    </row>
    <row r="4" spans="1:24" ht="15.75" x14ac:dyDescent="0.25">
      <c r="A4" s="194" t="str">
        <f>Historical!A4</f>
        <v>PacifiCorp</v>
      </c>
      <c r="B4" s="10"/>
      <c r="C4" s="10"/>
      <c r="D4" s="10"/>
      <c r="E4" s="10"/>
      <c r="F4" s="10"/>
      <c r="G4" s="10"/>
      <c r="H4" s="10"/>
      <c r="I4" s="10"/>
      <c r="J4" s="10"/>
      <c r="K4" s="249"/>
      <c r="M4" s="104" t="str">
        <f>A4</f>
        <v>PacifiCorp</v>
      </c>
      <c r="N4" s="105"/>
      <c r="O4" s="10"/>
      <c r="P4" s="12"/>
      <c r="Q4" s="12"/>
      <c r="R4" s="12"/>
      <c r="S4" s="12"/>
      <c r="T4" s="12"/>
      <c r="U4" s="12"/>
      <c r="V4" s="12"/>
      <c r="W4" s="13"/>
      <c r="X4" s="2"/>
    </row>
    <row r="5" spans="1:24" x14ac:dyDescent="0.2">
      <c r="A5" s="232" t="s">
        <v>121</v>
      </c>
      <c r="B5" s="10"/>
      <c r="C5" s="10"/>
      <c r="D5" s="10"/>
      <c r="E5" s="10"/>
      <c r="F5" s="10"/>
      <c r="G5" s="10"/>
      <c r="H5" s="10"/>
      <c r="I5" s="10"/>
      <c r="J5" s="10"/>
      <c r="K5" s="73"/>
      <c r="M5" s="106" t="s">
        <v>172</v>
      </c>
      <c r="N5" s="105"/>
      <c r="O5" s="12"/>
      <c r="P5" s="10"/>
      <c r="Q5" s="12"/>
      <c r="R5" s="12"/>
      <c r="S5" s="12"/>
      <c r="T5" s="12"/>
      <c r="U5" s="12"/>
      <c r="V5" s="12"/>
      <c r="W5" s="13"/>
      <c r="X5" s="2"/>
    </row>
    <row r="6" spans="1:24" x14ac:dyDescent="0.2">
      <c r="A6" s="131">
        <f ca="1">NOW()</f>
        <v>42885.407735185188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2"/>
      <c r="M6" s="110"/>
      <c r="N6" s="19"/>
      <c r="O6" s="2"/>
      <c r="P6" s="2"/>
      <c r="Q6" s="2"/>
      <c r="R6" s="2"/>
      <c r="S6" s="2"/>
      <c r="T6" s="2"/>
      <c r="U6" s="2"/>
      <c r="V6" s="2"/>
      <c r="W6" s="5"/>
      <c r="X6" s="2"/>
    </row>
    <row r="7" spans="1:24" x14ac:dyDescent="0.2">
      <c r="B7" s="2"/>
      <c r="C7" s="2"/>
      <c r="D7" s="2"/>
      <c r="E7" s="2"/>
      <c r="F7" s="2"/>
      <c r="G7" s="2"/>
      <c r="H7" s="2"/>
      <c r="I7" s="2"/>
      <c r="J7" s="2"/>
      <c r="K7" s="5"/>
      <c r="L7" s="2"/>
      <c r="M7" s="110"/>
      <c r="N7" s="19"/>
      <c r="O7" s="2"/>
      <c r="P7" s="2"/>
      <c r="Q7" s="2"/>
      <c r="R7" s="2"/>
      <c r="S7" s="2"/>
      <c r="T7" s="2"/>
      <c r="U7" s="2"/>
      <c r="V7" s="2"/>
      <c r="W7" s="5"/>
      <c r="X7" s="2"/>
    </row>
    <row r="8" spans="1:24" x14ac:dyDescent="0.2">
      <c r="B8" s="74" t="s">
        <v>122</v>
      </c>
      <c r="C8" s="14" t="s">
        <v>123</v>
      </c>
      <c r="D8" s="14" t="s">
        <v>123</v>
      </c>
      <c r="E8" s="14" t="s">
        <v>123</v>
      </c>
      <c r="F8" s="14" t="s">
        <v>123</v>
      </c>
      <c r="G8" s="14" t="s">
        <v>123</v>
      </c>
      <c r="H8" s="14" t="s">
        <v>123</v>
      </c>
      <c r="I8" s="14" t="s">
        <v>123</v>
      </c>
      <c r="J8" s="14" t="s">
        <v>123</v>
      </c>
      <c r="K8" s="15" t="s">
        <v>4</v>
      </c>
      <c r="L8" s="2"/>
      <c r="N8" s="74" t="s">
        <v>122</v>
      </c>
      <c r="O8" s="14" t="s">
        <v>123</v>
      </c>
      <c r="P8" s="14" t="s">
        <v>123</v>
      </c>
      <c r="Q8" s="14" t="s">
        <v>123</v>
      </c>
      <c r="R8" s="14" t="s">
        <v>123</v>
      </c>
      <c r="S8" s="14" t="s">
        <v>123</v>
      </c>
      <c r="T8" s="14" t="s">
        <v>123</v>
      </c>
      <c r="U8" s="14" t="s">
        <v>123</v>
      </c>
      <c r="V8" s="14" t="s">
        <v>123</v>
      </c>
      <c r="W8" s="15" t="s">
        <v>124</v>
      </c>
      <c r="X8" s="2"/>
    </row>
    <row r="9" spans="1:24" x14ac:dyDescent="0.2">
      <c r="A9" s="233" t="s">
        <v>0</v>
      </c>
      <c r="B9" s="75">
        <f>Historical!R10</f>
        <v>2016</v>
      </c>
      <c r="C9" s="4">
        <f>B9+1</f>
        <v>2017</v>
      </c>
      <c r="D9" s="4">
        <f t="shared" ref="D9:J9" si="0">C9+1</f>
        <v>2018</v>
      </c>
      <c r="E9" s="4">
        <f t="shared" si="0"/>
        <v>2019</v>
      </c>
      <c r="F9" s="4">
        <f t="shared" si="0"/>
        <v>2020</v>
      </c>
      <c r="G9" s="4">
        <f t="shared" si="0"/>
        <v>2021</v>
      </c>
      <c r="H9" s="4">
        <f t="shared" si="0"/>
        <v>2022</v>
      </c>
      <c r="I9" s="4">
        <f t="shared" si="0"/>
        <v>2023</v>
      </c>
      <c r="J9" s="4">
        <f t="shared" si="0"/>
        <v>2024</v>
      </c>
      <c r="K9" s="16" t="s">
        <v>23</v>
      </c>
      <c r="L9" s="2"/>
      <c r="N9" s="88">
        <f t="shared" ref="N9:V9" si="1">B9</f>
        <v>2016</v>
      </c>
      <c r="O9" s="4">
        <f t="shared" si="1"/>
        <v>2017</v>
      </c>
      <c r="P9" s="4">
        <f t="shared" si="1"/>
        <v>2018</v>
      </c>
      <c r="Q9" s="4">
        <f t="shared" si="1"/>
        <v>2019</v>
      </c>
      <c r="R9" s="4">
        <f t="shared" si="1"/>
        <v>2020</v>
      </c>
      <c r="S9" s="4">
        <f t="shared" si="1"/>
        <v>2021</v>
      </c>
      <c r="T9" s="4">
        <f t="shared" si="1"/>
        <v>2022</v>
      </c>
      <c r="U9" s="4">
        <f t="shared" si="1"/>
        <v>2023</v>
      </c>
      <c r="V9" s="4">
        <f t="shared" si="1"/>
        <v>2024</v>
      </c>
      <c r="W9" s="16" t="s">
        <v>125</v>
      </c>
      <c r="X9" s="2"/>
    </row>
    <row r="10" spans="1:24" ht="7.5" customHeight="1" x14ac:dyDescent="0.2">
      <c r="A10" s="110"/>
      <c r="B10" s="76"/>
      <c r="C10" s="22"/>
      <c r="D10" s="22"/>
      <c r="E10" s="22"/>
      <c r="F10" s="22"/>
      <c r="G10" s="22"/>
      <c r="H10" s="22"/>
      <c r="I10" s="22"/>
      <c r="J10" s="22"/>
      <c r="K10" s="23"/>
      <c r="L10" s="19"/>
      <c r="N10" s="85"/>
      <c r="O10" s="2"/>
      <c r="P10" s="2"/>
      <c r="Q10" s="2"/>
      <c r="R10" s="2"/>
      <c r="S10" s="2"/>
      <c r="T10" s="2"/>
      <c r="U10" s="2"/>
      <c r="V10" s="2"/>
      <c r="W10" s="5"/>
      <c r="X10" s="2"/>
    </row>
    <row r="11" spans="1:24" x14ac:dyDescent="0.2">
      <c r="A11" s="172" t="str">
        <f>Historical!A12</f>
        <v>Current Assets:</v>
      </c>
      <c r="B11" s="77"/>
      <c r="C11" s="2"/>
      <c r="D11" s="2"/>
      <c r="E11" s="2"/>
      <c r="F11" s="2"/>
      <c r="G11" s="2"/>
      <c r="H11" s="2"/>
      <c r="I11" s="2"/>
      <c r="J11" s="2"/>
      <c r="K11" s="5"/>
      <c r="L11" s="2"/>
      <c r="M11" s="172" t="str">
        <f t="shared" ref="M11:M17" si="2">A11</f>
        <v>Current Assets:</v>
      </c>
      <c r="N11" s="77"/>
      <c r="O11" s="5"/>
      <c r="P11" s="5"/>
      <c r="Q11" s="5"/>
      <c r="R11" s="5"/>
      <c r="S11" s="5"/>
      <c r="T11" s="2"/>
      <c r="U11" s="2"/>
      <c r="V11" s="2"/>
      <c r="W11" s="5"/>
      <c r="X11" s="2"/>
    </row>
    <row r="12" spans="1:24" x14ac:dyDescent="0.2">
      <c r="A12" s="52" t="str">
        <f>Historical!A13</f>
        <v>Cash &amp; Equivalents</v>
      </c>
      <c r="B12" s="77">
        <f>Historical!R13</f>
        <v>17</v>
      </c>
      <c r="C12" s="2">
        <f>Assumptions!$C$10*Forecast!C80</f>
        <v>17.543370590054163</v>
      </c>
      <c r="D12" s="2">
        <f>Assumptions!$C$10*Forecast!D80</f>
        <v>17.76694284808292</v>
      </c>
      <c r="E12" s="2">
        <f>Assumptions!$C$10*Forecast!E80</f>
        <v>17.993364305146919</v>
      </c>
      <c r="F12" s="2">
        <f>Assumptions!$C$10*Forecast!F80</f>
        <v>18.55006735157253</v>
      </c>
      <c r="G12" s="2">
        <f>Assumptions!$C$10*Forecast!G80</f>
        <v>19.022870502265569</v>
      </c>
      <c r="H12" s="2">
        <f>Assumptions!$C$10*Forecast!H80</f>
        <v>19.507724435043041</v>
      </c>
      <c r="I12" s="2">
        <f>Assumptions!$C$10*Forecast!I80</f>
        <v>20.004936299611181</v>
      </c>
      <c r="J12" s="2">
        <f>Assumptions!$C$10*Forecast!J80</f>
        <v>20.514821074291955</v>
      </c>
      <c r="K12" s="5">
        <f>RATE(8,,-B12,J12)</f>
        <v>2.3769887895606967E-2</v>
      </c>
      <c r="L12" s="2"/>
      <c r="M12" s="52" t="str">
        <f t="shared" si="2"/>
        <v>Cash &amp; Equivalents</v>
      </c>
      <c r="N12" s="90">
        <f t="shared" ref="N12:V17" si="3">B12/B$38</f>
        <v>7.5913191033312498E-4</v>
      </c>
      <c r="O12" s="95">
        <f t="shared" ca="1" si="3"/>
        <v>7.6592519192906735E-4</v>
      </c>
      <c r="P12" s="18">
        <f t="shared" ca="1" si="3"/>
        <v>7.6018567697204442E-4</v>
      </c>
      <c r="Q12" s="18">
        <f t="shared" ca="1" si="3"/>
        <v>7.4569060101955544E-4</v>
      </c>
      <c r="R12" s="18">
        <f t="shared" ca="1" si="3"/>
        <v>7.5588310684577436E-4</v>
      </c>
      <c r="S12" s="18">
        <f t="shared" ca="1" si="3"/>
        <v>7.6402446080611438E-4</v>
      </c>
      <c r="T12" s="18">
        <f t="shared" ca="1" si="3"/>
        <v>7.7236051495949924E-4</v>
      </c>
      <c r="U12" s="18">
        <f t="shared" ca="1" si="3"/>
        <v>7.8089927366462519E-4</v>
      </c>
      <c r="V12" s="18">
        <f t="shared" si="3"/>
        <v>8.2059284297167823E-4</v>
      </c>
      <c r="W12" s="18">
        <f t="shared" ref="W12:W17" ca="1" si="4">SUM(C12:J12)/SUM($C$38:$J$38)</f>
        <v>7.7101748247447122E-4</v>
      </c>
      <c r="X12" s="2"/>
    </row>
    <row r="13" spans="1:24" x14ac:dyDescent="0.2">
      <c r="A13" s="52" t="s">
        <v>135</v>
      </c>
      <c r="B13" s="77">
        <v>0</v>
      </c>
      <c r="C13" s="2">
        <f t="shared" ref="C13:J13" ca="1" si="5">C67</f>
        <v>0</v>
      </c>
      <c r="D13" s="2">
        <f t="shared" ca="1" si="5"/>
        <v>0</v>
      </c>
      <c r="E13" s="2">
        <f t="shared" ca="1" si="5"/>
        <v>0</v>
      </c>
      <c r="F13" s="2">
        <f t="shared" ca="1" si="5"/>
        <v>0</v>
      </c>
      <c r="G13" s="2">
        <f t="shared" ca="1" si="5"/>
        <v>0</v>
      </c>
      <c r="H13" s="2">
        <f t="shared" ca="1" si="5"/>
        <v>0</v>
      </c>
      <c r="I13" s="2">
        <f t="shared" ca="1" si="5"/>
        <v>0</v>
      </c>
      <c r="J13" s="2">
        <f t="shared" ca="1" si="5"/>
        <v>0</v>
      </c>
      <c r="K13" s="5"/>
      <c r="M13" s="52" t="str">
        <f t="shared" si="2"/>
        <v>Surplus Cash</v>
      </c>
      <c r="N13" s="90">
        <f t="shared" si="3"/>
        <v>0</v>
      </c>
      <c r="O13" s="95">
        <f t="shared" ca="1" si="3"/>
        <v>0</v>
      </c>
      <c r="P13" s="18">
        <f t="shared" ca="1" si="3"/>
        <v>0</v>
      </c>
      <c r="Q13" s="18">
        <f t="shared" ca="1" si="3"/>
        <v>0</v>
      </c>
      <c r="R13" s="18">
        <f t="shared" ca="1" si="3"/>
        <v>0</v>
      </c>
      <c r="S13" s="18">
        <f t="shared" ca="1" si="3"/>
        <v>0</v>
      </c>
      <c r="T13" s="18">
        <f t="shared" ca="1" si="3"/>
        <v>0</v>
      </c>
      <c r="U13" s="18">
        <f t="shared" ca="1" si="3"/>
        <v>0</v>
      </c>
      <c r="V13" s="18">
        <f t="shared" ca="1" si="3"/>
        <v>0</v>
      </c>
      <c r="W13" s="18">
        <f t="shared" ca="1" si="4"/>
        <v>0</v>
      </c>
      <c r="X13" s="2"/>
    </row>
    <row r="14" spans="1:24" x14ac:dyDescent="0.2">
      <c r="A14" s="52" t="str">
        <f>Historical!A14</f>
        <v>Accounts Receivable</v>
      </c>
      <c r="B14" s="77">
        <f>Historical!R14</f>
        <v>728</v>
      </c>
      <c r="C14" s="2">
        <f>Assumptions!$C$12*Forecast!C80</f>
        <v>735.42373298710947</v>
      </c>
      <c r="D14" s="2">
        <f>Assumptions!$C$12*Forecast!D80</f>
        <v>744.79595389231463</v>
      </c>
      <c r="E14" s="2">
        <f>Assumptions!$C$12*Forecast!E80</f>
        <v>754.28761413671418</v>
      </c>
      <c r="F14" s="2">
        <f>Assumptions!$C$12*Forecast!F80</f>
        <v>777.62478474859915</v>
      </c>
      <c r="G14" s="2">
        <f>Assumptions!$C$12*Forecast!G80</f>
        <v>797.44484476875687</v>
      </c>
      <c r="H14" s="2">
        <f>Assumptions!$C$12*Forecast!H80</f>
        <v>817.77007744661182</v>
      </c>
      <c r="I14" s="2">
        <f>Assumptions!$C$12*Forecast!I80</f>
        <v>838.61335859655719</v>
      </c>
      <c r="J14" s="2">
        <f>Assumptions!$C$12*Forecast!J80</f>
        <v>859.98789221107336</v>
      </c>
      <c r="K14" s="5">
        <f>RATE(8,,-B14,J14)</f>
        <v>2.1045556590011488E-2</v>
      </c>
      <c r="L14" s="2"/>
      <c r="M14" s="52" t="str">
        <f t="shared" si="2"/>
        <v>Accounts Receivable</v>
      </c>
      <c r="N14" s="90">
        <f t="shared" si="3"/>
        <v>3.2508707689559706E-2</v>
      </c>
      <c r="O14" s="95">
        <f t="shared" ca="1" si="3"/>
        <v>3.2107830188383653E-2</v>
      </c>
      <c r="P14" s="18">
        <f t="shared" ca="1" si="3"/>
        <v>3.1867227876897282E-2</v>
      </c>
      <c r="Q14" s="18">
        <f t="shared" ca="1" si="3"/>
        <v>3.1259589634736754E-2</v>
      </c>
      <c r="R14" s="18">
        <f t="shared" ca="1" si="3"/>
        <v>3.1686862754502026E-2</v>
      </c>
      <c r="S14" s="18">
        <f t="shared" ca="1" si="3"/>
        <v>3.2028150928878112E-2</v>
      </c>
      <c r="T14" s="18">
        <f t="shared" ca="1" si="3"/>
        <v>3.2377600997916756E-2</v>
      </c>
      <c r="U14" s="18">
        <f t="shared" ca="1" si="3"/>
        <v>3.2735548506906846E-2</v>
      </c>
      <c r="V14" s="18">
        <f t="shared" si="3"/>
        <v>3.4399515688442933E-2</v>
      </c>
      <c r="W14" s="18">
        <f t="shared" ca="1" si="4"/>
        <v>3.2321300644538704E-2</v>
      </c>
      <c r="X14" s="2"/>
    </row>
    <row r="15" spans="1:24" x14ac:dyDescent="0.2">
      <c r="A15" s="52" t="str">
        <f>Historical!A15</f>
        <v>Material, Supplies, Fuel</v>
      </c>
      <c r="B15" s="77">
        <f>Historical!R15</f>
        <v>443</v>
      </c>
      <c r="C15" s="2">
        <f>(1+Assumptions!$C$13)*Forecast!B15</f>
        <v>450.51175006240857</v>
      </c>
      <c r="D15" s="2">
        <f>(1+Assumptions!$C$13)*Forecast!C15</f>
        <v>458.15087346341784</v>
      </c>
      <c r="E15" s="2">
        <f>(1+Assumptions!$C$13)*Forecast!D15</f>
        <v>465.91953001495591</v>
      </c>
      <c r="F15" s="2">
        <f>(1+Assumptions!$C$13)*Forecast!E15</f>
        <v>473.81991615190225</v>
      </c>
      <c r="G15" s="2">
        <f>(1+Assumptions!$C$13)*Forecast!F15</f>
        <v>481.85426555308618</v>
      </c>
      <c r="H15" s="2">
        <f>(1+Assumptions!$C$13)*Forecast!G15</f>
        <v>490.02484977281586</v>
      </c>
      <c r="I15" s="2">
        <f>(1+Assumptions!$C$13)*Forecast!H15</f>
        <v>498.33397888311544</v>
      </c>
      <c r="J15" s="2">
        <f>(1+Assumptions!$C$13)*Forecast!I15</f>
        <v>506.78400212685261</v>
      </c>
      <c r="K15" s="5">
        <f>RATE(8,,-B15,J15)</f>
        <v>1.6956546416359505E-2</v>
      </c>
      <c r="L15" s="2"/>
      <c r="M15" s="52" t="str">
        <f t="shared" si="2"/>
        <v>Material, Supplies, Fuel</v>
      </c>
      <c r="N15" s="90">
        <f t="shared" si="3"/>
        <v>1.9782084486916138E-2</v>
      </c>
      <c r="O15" s="95">
        <f t="shared" ca="1" si="3"/>
        <v>1.9668871318746107E-2</v>
      </c>
      <c r="P15" s="18">
        <f t="shared" ca="1" si="3"/>
        <v>1.9602682063937726E-2</v>
      </c>
      <c r="Q15" s="18">
        <f t="shared" ca="1" si="3"/>
        <v>1.9308885679829201E-2</v>
      </c>
      <c r="R15" s="18">
        <f t="shared" ca="1" si="3"/>
        <v>1.9307340696848887E-2</v>
      </c>
      <c r="S15" s="18">
        <f t="shared" ca="1" si="3"/>
        <v>1.9352938631552873E-2</v>
      </c>
      <c r="T15" s="18">
        <f t="shared" ca="1" si="3"/>
        <v>1.9401332358047956E-2</v>
      </c>
      <c r="U15" s="18">
        <f t="shared" ca="1" si="3"/>
        <v>1.9452630906892268E-2</v>
      </c>
      <c r="V15" s="18">
        <f t="shared" si="3"/>
        <v>2.0271360085074106E-2</v>
      </c>
      <c r="W15" s="18">
        <f t="shared" ca="1" si="4"/>
        <v>1.9545192510675144E-2</v>
      </c>
      <c r="X15" s="2"/>
    </row>
    <row r="16" spans="1:24" x14ac:dyDescent="0.2">
      <c r="A16" s="52" t="str">
        <f>Historical!A16</f>
        <v>Other Current Assets</v>
      </c>
      <c r="B16" s="77">
        <f>Historical!R16</f>
        <v>166</v>
      </c>
      <c r="C16" s="3">
        <f ca="1">C38*Assumptions!$C$14</f>
        <v>250.56363596070062</v>
      </c>
      <c r="D16" s="3">
        <f ca="1">D38*Assumptions!$C$14</f>
        <v>255.67271409968686</v>
      </c>
      <c r="E16" s="3">
        <f ca="1">E38*Assumptions!$C$14</f>
        <v>263.96422007144963</v>
      </c>
      <c r="F16" s="3">
        <f ca="1">F38*Assumptions!$C$14</f>
        <v>268.46162233462337</v>
      </c>
      <c r="G16" s="3">
        <f ca="1">G38*Assumptions!$C$14</f>
        <v>272.37054975553264</v>
      </c>
      <c r="H16" s="3">
        <f ca="1">H38*Assumptions!$C$14</f>
        <v>276.2981058913299</v>
      </c>
      <c r="I16" s="3">
        <f ca="1">I38*Assumptions!$C$14</f>
        <v>280.2421866080872</v>
      </c>
      <c r="J16" s="3">
        <f>J38*Assumptions!$C$14</f>
        <v>273.48365010376847</v>
      </c>
      <c r="K16" s="5">
        <f>RATE(8,,-B16,J16)</f>
        <v>6.4395206286667298E-2</v>
      </c>
      <c r="L16" s="2"/>
      <c r="M16" s="52" t="str">
        <f t="shared" si="2"/>
        <v>Other Current Assets</v>
      </c>
      <c r="N16" s="90">
        <f t="shared" si="3"/>
        <v>7.412699830311691E-3</v>
      </c>
      <c r="O16" s="95">
        <f t="shared" ca="1" si="3"/>
        <v>1.0939346004150738E-2</v>
      </c>
      <c r="P16" s="18">
        <f t="shared" ca="1" si="3"/>
        <v>1.0939346004150738E-2</v>
      </c>
      <c r="Q16" s="18">
        <f t="shared" ca="1" si="3"/>
        <v>1.0939346004150738E-2</v>
      </c>
      <c r="R16" s="18">
        <f t="shared" ca="1" si="3"/>
        <v>1.0939346004150738E-2</v>
      </c>
      <c r="S16" s="18">
        <f t="shared" ca="1" si="3"/>
        <v>1.0939346004150736E-2</v>
      </c>
      <c r="T16" s="18">
        <f t="shared" ca="1" si="3"/>
        <v>1.0939346004150738E-2</v>
      </c>
      <c r="U16" s="18">
        <f t="shared" ca="1" si="3"/>
        <v>1.0939346004150738E-2</v>
      </c>
      <c r="V16" s="18">
        <f t="shared" si="3"/>
        <v>1.0939346004150738E-2</v>
      </c>
      <c r="W16" s="18">
        <f t="shared" ca="1" si="4"/>
        <v>1.0939346004150738E-2</v>
      </c>
      <c r="X16" s="2"/>
    </row>
    <row r="17" spans="1:24" x14ac:dyDescent="0.2">
      <c r="A17" s="172" t="str">
        <f>Historical!A17</f>
        <v>Total Current Assets</v>
      </c>
      <c r="B17" s="237">
        <f>SUM(B12:B16)</f>
        <v>1354</v>
      </c>
      <c r="C17" s="276">
        <f t="shared" ref="C17:J17" ca="1" si="6">SUM(C11:C16)</f>
        <v>1454.0424896002728</v>
      </c>
      <c r="D17" s="172">
        <f t="shared" ca="1" si="6"/>
        <v>1476.3864843035021</v>
      </c>
      <c r="E17" s="172">
        <f t="shared" ca="1" si="6"/>
        <v>1502.1647285282666</v>
      </c>
      <c r="F17" s="172">
        <f t="shared" ca="1" si="6"/>
        <v>1538.4563905866974</v>
      </c>
      <c r="G17" s="172">
        <f t="shared" ca="1" si="6"/>
        <v>1570.6925305796415</v>
      </c>
      <c r="H17" s="172">
        <f t="shared" ca="1" si="6"/>
        <v>1603.6007575458007</v>
      </c>
      <c r="I17" s="172">
        <f t="shared" ca="1" si="6"/>
        <v>1637.194460387371</v>
      </c>
      <c r="J17" s="172">
        <f t="shared" ca="1" si="6"/>
        <v>1660.7703655159864</v>
      </c>
      <c r="K17" s="180">
        <f ca="1">RATE(8,,-B17,J17)</f>
        <v>2.5855911221203509E-2</v>
      </c>
      <c r="L17" s="2"/>
      <c r="M17" s="52" t="str">
        <f t="shared" si="2"/>
        <v>Total Current Assets</v>
      </c>
      <c r="N17" s="91">
        <f t="shared" si="3"/>
        <v>6.0462623917120657E-2</v>
      </c>
      <c r="O17" s="93">
        <f t="shared" ca="1" si="3"/>
        <v>6.3481972703209558E-2</v>
      </c>
      <c r="P17" s="17">
        <f t="shared" ca="1" si="3"/>
        <v>6.3169441621957784E-2</v>
      </c>
      <c r="Q17" s="17">
        <f t="shared" ca="1" si="3"/>
        <v>6.2253511919736243E-2</v>
      </c>
      <c r="R17" s="17">
        <f t="shared" ca="1" si="3"/>
        <v>6.2689432562347422E-2</v>
      </c>
      <c r="S17" s="17">
        <f t="shared" ca="1" si="3"/>
        <v>6.308446002538784E-2</v>
      </c>
      <c r="T17" s="17">
        <f t="shared" ca="1" si="3"/>
        <v>6.3490639875074958E-2</v>
      </c>
      <c r="U17" s="17">
        <f t="shared" ca="1" si="3"/>
        <v>6.3908424691614479E-2</v>
      </c>
      <c r="V17" s="17">
        <f t="shared" ca="1" si="3"/>
        <v>6.6430814620639461E-2</v>
      </c>
      <c r="W17" s="17">
        <f t="shared" ca="1" si="4"/>
        <v>6.3576856641839041E-2</v>
      </c>
      <c r="X17" s="2"/>
    </row>
    <row r="18" spans="1:24" ht="7.5" customHeight="1" x14ac:dyDescent="0.2">
      <c r="B18" s="77"/>
      <c r="C18" s="2"/>
      <c r="D18" s="2"/>
      <c r="E18" s="2"/>
      <c r="F18" s="2"/>
      <c r="G18" s="2"/>
      <c r="H18" s="2"/>
      <c r="I18" s="2"/>
      <c r="J18" s="2"/>
      <c r="K18" s="5"/>
      <c r="L18" s="2"/>
      <c r="N18" s="90"/>
      <c r="O18" s="95"/>
      <c r="P18" s="18"/>
      <c r="Q18" s="18"/>
      <c r="R18" s="18"/>
      <c r="S18" s="18"/>
      <c r="T18" s="18"/>
      <c r="U18" s="18"/>
      <c r="V18" s="18"/>
      <c r="W18" s="18"/>
      <c r="X18" s="2"/>
    </row>
    <row r="19" spans="1:24" x14ac:dyDescent="0.2">
      <c r="A19" s="172" t="str">
        <f>Historical!A19</f>
        <v>Plant &amp; Equipment:</v>
      </c>
      <c r="B19" s="77"/>
      <c r="C19" s="2"/>
      <c r="D19" s="2"/>
      <c r="E19" s="2"/>
      <c r="F19" s="2"/>
      <c r="G19" s="2"/>
      <c r="H19" s="2"/>
      <c r="I19" s="2"/>
      <c r="J19" s="2"/>
      <c r="K19" s="5"/>
      <c r="M19" s="172" t="str">
        <f t="shared" ref="M19:M24" si="7">A19</f>
        <v>Plant &amp; Equipment:</v>
      </c>
      <c r="N19" s="90"/>
      <c r="O19" s="95"/>
      <c r="P19" s="18"/>
      <c r="Q19" s="18"/>
      <c r="R19" s="18"/>
      <c r="S19" s="18"/>
      <c r="T19" s="18"/>
      <c r="U19" s="18"/>
      <c r="V19" s="18"/>
      <c r="W19" s="18"/>
      <c r="X19" s="2"/>
    </row>
    <row r="20" spans="1:24" x14ac:dyDescent="0.2">
      <c r="A20" s="52" t="str">
        <f>Historical!A20</f>
        <v>Plant in Service</v>
      </c>
      <c r="B20" s="77">
        <f>Historical!R20</f>
        <v>27298</v>
      </c>
      <c r="C20" s="2">
        <f>B20*(1+Assumptions!$C$18)</f>
        <v>27819.827501876611</v>
      </c>
      <c r="D20" s="2">
        <f>C20*(1+Assumptions!$C$18)</f>
        <v>28351.63023789912</v>
      </c>
      <c r="E20" s="2">
        <f>D20*(1+Assumptions!$C$19)+740</f>
        <v>29705.861381767852</v>
      </c>
      <c r="F20" s="2">
        <f>E20*(1+Assumptions!$C$19)</f>
        <v>30349.431612580844</v>
      </c>
      <c r="G20" s="2">
        <f>F20*(1+Assumptions!$C$19)</f>
        <v>31006.944635244432</v>
      </c>
      <c r="H20" s="2">
        <f>G20*(1+Assumptions!$C$19)</f>
        <v>31678.70251693836</v>
      </c>
      <c r="I20" s="2">
        <f>H20*(1+Assumptions!$C$19)</f>
        <v>32365.013869054041</v>
      </c>
      <c r="J20" s="2">
        <f>I20*(1+Assumptions!$C$19)</f>
        <v>33066.193988973297</v>
      </c>
      <c r="K20" s="5">
        <f>RATE(8,,-B20,J20)</f>
        <v>2.4251650559668943E-2</v>
      </c>
      <c r="L20" s="2"/>
      <c r="M20" s="52" t="str">
        <f t="shared" si="7"/>
        <v>Plant in Service</v>
      </c>
      <c r="N20" s="90">
        <f t="shared" ref="N20:V24" si="8">B20/B$38</f>
        <v>1.2189872287219792</v>
      </c>
      <c r="O20" s="95">
        <f t="shared" ca="1" si="8"/>
        <v>1.2145845411763945</v>
      </c>
      <c r="P20" s="18">
        <f t="shared" ca="1" si="8"/>
        <v>1.2130676284571926</v>
      </c>
      <c r="Q20" s="18">
        <f t="shared" ca="1" si="8"/>
        <v>1.2310861522009962</v>
      </c>
      <c r="R20" s="18">
        <f t="shared" ca="1" si="8"/>
        <v>1.2366867582492223</v>
      </c>
      <c r="S20" s="18">
        <f t="shared" ca="1" si="8"/>
        <v>1.245346445131204</v>
      </c>
      <c r="T20" s="18">
        <f t="shared" ca="1" si="8"/>
        <v>1.2542405481840257</v>
      </c>
      <c r="U20" s="18">
        <f t="shared" ca="1" si="8"/>
        <v>1.2633789702685054</v>
      </c>
      <c r="V20" s="18">
        <f t="shared" si="8"/>
        <v>1.3226477595589319</v>
      </c>
      <c r="W20" s="18">
        <f ca="1">SUM(C20:J20)/SUM($C$38:$J$38)</f>
        <v>1.2484299299891359</v>
      </c>
      <c r="X20" s="2"/>
    </row>
    <row r="21" spans="1:24" x14ac:dyDescent="0.2">
      <c r="A21" s="52" t="str">
        <f>Historical!A21</f>
        <v>Construction Work in Progress</v>
      </c>
      <c r="B21" s="77">
        <f>Historical!R21</f>
        <v>657</v>
      </c>
      <c r="C21" s="2">
        <f>Assumptions!G20</f>
        <v>630</v>
      </c>
      <c r="D21" s="2">
        <f>Assumptions!H20</f>
        <v>635</v>
      </c>
      <c r="E21" s="2">
        <f>Assumptions!I20</f>
        <v>650</v>
      </c>
      <c r="F21" s="2">
        <f>Assumptions!J20</f>
        <v>700</v>
      </c>
      <c r="G21" s="2">
        <f>Assumptions!$J$20</f>
        <v>700</v>
      </c>
      <c r="H21" s="2">
        <f>Assumptions!$J$20</f>
        <v>700</v>
      </c>
      <c r="I21" s="2">
        <f>Assumptions!$J$20</f>
        <v>700</v>
      </c>
      <c r="J21" s="2">
        <f>Assumptions!$J$20</f>
        <v>700</v>
      </c>
      <c r="K21" s="5">
        <f>RATE(8,,-B21,J21)</f>
        <v>7.9560218400758324E-3</v>
      </c>
      <c r="L21" s="2"/>
      <c r="M21" s="52" t="str">
        <f t="shared" si="7"/>
        <v>Construction Work in Progress</v>
      </c>
      <c r="N21" s="90">
        <f t="shared" si="8"/>
        <v>2.9338215593462533E-2</v>
      </c>
      <c r="O21" s="95">
        <f t="shared" ca="1" si="8"/>
        <v>2.750514038555818E-2</v>
      </c>
      <c r="P21" s="18">
        <f t="shared" ca="1" si="8"/>
        <v>2.7169440967123627E-2</v>
      </c>
      <c r="Q21" s="18">
        <f t="shared" ca="1" si="8"/>
        <v>2.6937646703683153E-2</v>
      </c>
      <c r="R21" s="18">
        <f t="shared" ca="1" si="8"/>
        <v>2.8523787259844505E-2</v>
      </c>
      <c r="S21" s="18">
        <f t="shared" ca="1" si="8"/>
        <v>2.8114427972402215E-2</v>
      </c>
      <c r="T21" s="18">
        <f t="shared" ca="1" si="8"/>
        <v>2.7714783560323374E-2</v>
      </c>
      <c r="U21" s="18">
        <f t="shared" ca="1" si="8"/>
        <v>2.732473042545314E-2</v>
      </c>
      <c r="V21" s="18">
        <f t="shared" si="8"/>
        <v>2.8000000000000001E-2</v>
      </c>
      <c r="W21" s="18">
        <f ca="1">SUM(C21:J21)/SUM($C$38:$J$38)</f>
        <v>2.7666973524016258E-2</v>
      </c>
      <c r="X21" s="2"/>
    </row>
    <row r="22" spans="1:24" hidden="1" x14ac:dyDescent="0.2">
      <c r="A22" s="52" t="str">
        <f>Historical!A22</f>
        <v>Australian Electric Operations</v>
      </c>
      <c r="B22" s="77">
        <f>Historical!L22</f>
        <v>0</v>
      </c>
      <c r="C22" s="229">
        <f>B22</f>
        <v>0</v>
      </c>
      <c r="D22" s="19">
        <f t="shared" ref="D22:J22" si="9">C22</f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9">
        <f t="shared" si="9"/>
        <v>0</v>
      </c>
      <c r="I22" s="19">
        <f t="shared" si="9"/>
        <v>0</v>
      </c>
      <c r="J22" s="19">
        <f t="shared" si="9"/>
        <v>0</v>
      </c>
      <c r="K22" s="5"/>
      <c r="L22" s="2"/>
      <c r="M22" s="52" t="str">
        <f t="shared" si="7"/>
        <v>Australian Electric Operations</v>
      </c>
      <c r="N22" s="90">
        <f t="shared" si="8"/>
        <v>0</v>
      </c>
      <c r="O22" s="95">
        <f t="shared" ca="1" si="8"/>
        <v>0</v>
      </c>
      <c r="P22" s="18">
        <f t="shared" ca="1" si="8"/>
        <v>0</v>
      </c>
      <c r="Q22" s="18">
        <f t="shared" ca="1" si="8"/>
        <v>0</v>
      </c>
      <c r="R22" s="18">
        <f t="shared" ca="1" si="8"/>
        <v>0</v>
      </c>
      <c r="S22" s="18">
        <f t="shared" ca="1" si="8"/>
        <v>0</v>
      </c>
      <c r="T22" s="18">
        <f t="shared" ca="1" si="8"/>
        <v>0</v>
      </c>
      <c r="U22" s="18">
        <f t="shared" ca="1" si="8"/>
        <v>0</v>
      </c>
      <c r="V22" s="18">
        <f t="shared" si="8"/>
        <v>0</v>
      </c>
      <c r="W22" s="18">
        <f ca="1">SUM(C22:J22)/SUM($C$38:$J$38)</f>
        <v>0</v>
      </c>
      <c r="X22" s="2"/>
    </row>
    <row r="23" spans="1:24" ht="12.75" hidden="1" customHeight="1" x14ac:dyDescent="0.2">
      <c r="A23" s="52" t="str">
        <f>Historical!A23</f>
        <v>Other PP&amp;E</v>
      </c>
      <c r="B23" s="77">
        <f>Historical!L23</f>
        <v>0</v>
      </c>
      <c r="C23" s="100">
        <f>B23</f>
        <v>0</v>
      </c>
      <c r="D23" s="100">
        <f t="shared" ref="D23:J23" si="10">C23</f>
        <v>0</v>
      </c>
      <c r="E23" s="100">
        <f t="shared" si="10"/>
        <v>0</v>
      </c>
      <c r="F23" s="100">
        <f t="shared" si="10"/>
        <v>0</v>
      </c>
      <c r="G23" s="100">
        <f t="shared" si="10"/>
        <v>0</v>
      </c>
      <c r="H23" s="100">
        <f t="shared" si="10"/>
        <v>0</v>
      </c>
      <c r="I23" s="100">
        <f t="shared" si="10"/>
        <v>0</v>
      </c>
      <c r="J23" s="100">
        <f t="shared" si="10"/>
        <v>0</v>
      </c>
      <c r="K23" s="102"/>
      <c r="L23" s="19"/>
      <c r="M23" s="52" t="str">
        <f t="shared" si="7"/>
        <v>Other PP&amp;E</v>
      </c>
      <c r="N23" s="230">
        <f t="shared" si="8"/>
        <v>0</v>
      </c>
      <c r="O23" s="231">
        <f t="shared" ca="1" si="8"/>
        <v>0</v>
      </c>
      <c r="P23" s="102">
        <f t="shared" ca="1" si="8"/>
        <v>0</v>
      </c>
      <c r="Q23" s="102">
        <f t="shared" ca="1" si="8"/>
        <v>0</v>
      </c>
      <c r="R23" s="102">
        <f t="shared" ca="1" si="8"/>
        <v>0</v>
      </c>
      <c r="S23" s="102">
        <f t="shared" ca="1" si="8"/>
        <v>0</v>
      </c>
      <c r="T23" s="102">
        <f t="shared" ca="1" si="8"/>
        <v>0</v>
      </c>
      <c r="U23" s="102">
        <f t="shared" ca="1" si="8"/>
        <v>0</v>
      </c>
      <c r="V23" s="102">
        <f t="shared" si="8"/>
        <v>0</v>
      </c>
      <c r="W23" s="102">
        <f ca="1">SUM(C23:J23)/SUM($C$38:$J$38)</f>
        <v>0</v>
      </c>
      <c r="X23" s="2"/>
    </row>
    <row r="24" spans="1:24" ht="12.75" customHeight="1" x14ac:dyDescent="0.2">
      <c r="A24" s="172" t="str">
        <f>Historical!A24</f>
        <v>Total Plant &amp; Equipment:</v>
      </c>
      <c r="B24" s="237">
        <f>SUM(B20:B23)</f>
        <v>27955</v>
      </c>
      <c r="C24" s="276">
        <f>SUM(C20:C23)</f>
        <v>28449.827501876611</v>
      </c>
      <c r="D24" s="195">
        <f t="shared" ref="D24:J24" si="11">SUM(D20:D23)</f>
        <v>28986.63023789912</v>
      </c>
      <c r="E24" s="195">
        <f t="shared" si="11"/>
        <v>30355.861381767852</v>
      </c>
      <c r="F24" s="195">
        <f t="shared" si="11"/>
        <v>31049.431612580844</v>
      </c>
      <c r="G24" s="195">
        <f t="shared" si="11"/>
        <v>31706.944635244432</v>
      </c>
      <c r="H24" s="195">
        <f t="shared" si="11"/>
        <v>32378.70251693836</v>
      </c>
      <c r="I24" s="195">
        <f t="shared" si="11"/>
        <v>33065.013869054041</v>
      </c>
      <c r="J24" s="195">
        <f t="shared" si="11"/>
        <v>33766.193988973297</v>
      </c>
      <c r="K24" s="180">
        <f>RATE(8,,-B24,J24)</f>
        <v>2.3888881129513938E-2</v>
      </c>
      <c r="L24" s="2"/>
      <c r="M24" s="172" t="str">
        <f t="shared" si="7"/>
        <v>Total Plant &amp; Equipment:</v>
      </c>
      <c r="N24" s="90">
        <f t="shared" si="8"/>
        <v>1.2483254443154417</v>
      </c>
      <c r="O24" s="95">
        <f t="shared" ca="1" si="8"/>
        <v>1.2420896815619527</v>
      </c>
      <c r="P24" s="18">
        <f t="shared" ca="1" si="8"/>
        <v>1.2402370694243163</v>
      </c>
      <c r="Q24" s="18">
        <f t="shared" ca="1" si="8"/>
        <v>1.2580237989046792</v>
      </c>
      <c r="R24" s="18">
        <f t="shared" ca="1" si="8"/>
        <v>1.2652105455090668</v>
      </c>
      <c r="S24" s="18">
        <f t="shared" ca="1" si="8"/>
        <v>1.2734608731036063</v>
      </c>
      <c r="T24" s="18">
        <f t="shared" ca="1" si="8"/>
        <v>1.2819553317443491</v>
      </c>
      <c r="U24" s="18">
        <f t="shared" ca="1" si="8"/>
        <v>1.2907037006939586</v>
      </c>
      <c r="V24" s="18">
        <f t="shared" si="8"/>
        <v>1.3506477595589319</v>
      </c>
      <c r="W24" s="18">
        <f ca="1">SUM(C24:J24)/SUM($C$38:$J$38)</f>
        <v>1.2760969035131522</v>
      </c>
      <c r="X24" s="2"/>
    </row>
    <row r="25" spans="1:24" ht="7.5" customHeight="1" x14ac:dyDescent="0.2">
      <c r="B25" s="77"/>
      <c r="C25" s="2"/>
      <c r="D25" s="2"/>
      <c r="E25" s="2"/>
      <c r="F25" s="2"/>
      <c r="G25" s="2"/>
      <c r="H25" s="2"/>
      <c r="I25" s="2"/>
      <c r="J25" s="2"/>
      <c r="K25" s="18"/>
      <c r="L25" s="2"/>
      <c r="N25" s="90"/>
      <c r="O25" s="95"/>
      <c r="P25" s="18"/>
      <c r="Q25" s="18"/>
      <c r="R25" s="18"/>
      <c r="S25" s="18"/>
      <c r="T25" s="18"/>
      <c r="U25" s="18"/>
      <c r="V25" s="18"/>
      <c r="W25" s="18"/>
      <c r="X25" s="2"/>
    </row>
    <row r="26" spans="1:24" ht="12.75" customHeight="1" x14ac:dyDescent="0.2">
      <c r="A26" s="52" t="str">
        <f>Historical!A26</f>
        <v>Accumulated Depreciation &amp; Amort.</v>
      </c>
      <c r="B26" s="77">
        <f>Historical!R26</f>
        <v>8793</v>
      </c>
      <c r="C26" s="2">
        <f>B26*Assumptions!$F$24</f>
        <v>8930.1707999999999</v>
      </c>
      <c r="D26" s="2">
        <f>C26*Assumptions!$F$24</f>
        <v>9069.4814644800008</v>
      </c>
      <c r="E26" s="2">
        <f>E20*Assumptions!$C$24*(Assumptions!$F$24^3)</f>
        <v>9759.7672732561023</v>
      </c>
      <c r="F26" s="2">
        <f>F20*Assumptions!$C$24*(Assumptions!$F$24^4)</f>
        <v>10126.761127145357</v>
      </c>
      <c r="G26" s="2">
        <f>G20*Assumptions!$C$24*(Assumptions!$F$24^5)</f>
        <v>10507.554950339369</v>
      </c>
      <c r="H26" s="2">
        <f>H20*Assumptions!$C$24*(Assumptions!$F$24^6)</f>
        <v>10902.667659301705</v>
      </c>
      <c r="I26" s="2">
        <f>I20*Assumptions!$C$24*(Assumptions!$F$24^7)</f>
        <v>11312.637683169496</v>
      </c>
      <c r="J26" s="2">
        <f>J20*Assumptions!$C$24*(Assumptions!$F$24^8)</f>
        <v>11738.023697483148</v>
      </c>
      <c r="K26" s="5">
        <f>RATE(8,,-B26,J26)</f>
        <v>3.6769562290012818E-2</v>
      </c>
      <c r="L26" s="2"/>
      <c r="M26" s="52" t="str">
        <f>A26</f>
        <v>Accumulated Depreciation &amp; Amort.</v>
      </c>
      <c r="N26" s="90">
        <f t="shared" ref="N26:V26" si="12">B26/B$38</f>
        <v>0.39264981691524514</v>
      </c>
      <c r="O26" s="95">
        <f t="shared" ca="1" si="12"/>
        <v>0.38988190717621019</v>
      </c>
      <c r="P26" s="18">
        <f t="shared" ca="1" si="12"/>
        <v>0.38805156102615956</v>
      </c>
      <c r="Q26" s="18">
        <f t="shared" ca="1" si="12"/>
        <v>0.40446948110329534</v>
      </c>
      <c r="R26" s="18">
        <f t="shared" ca="1" si="12"/>
        <v>0.41264797145993903</v>
      </c>
      <c r="S26" s="18">
        <f t="shared" ca="1" si="12"/>
        <v>0.4220198525962493</v>
      </c>
      <c r="T26" s="18">
        <f t="shared" ca="1" si="12"/>
        <v>0.4316643920109775</v>
      </c>
      <c r="U26" s="18">
        <f t="shared" ca="1" si="12"/>
        <v>0.4415925358477561</v>
      </c>
      <c r="V26" s="18">
        <f t="shared" si="12"/>
        <v>0.46952094789932591</v>
      </c>
      <c r="W26" s="18">
        <f ca="1">SUM(C26:J26)/SUM($C$38:$J$38)</f>
        <v>0.42073759143032075</v>
      </c>
      <c r="X26" s="2"/>
    </row>
    <row r="27" spans="1:24" ht="7.5" customHeight="1" x14ac:dyDescent="0.2">
      <c r="B27" s="77"/>
      <c r="C27" s="2"/>
      <c r="D27" s="2"/>
      <c r="E27" s="2"/>
      <c r="F27" s="2"/>
      <c r="G27" s="2"/>
      <c r="H27" s="2"/>
      <c r="I27" s="2"/>
      <c r="J27" s="2"/>
      <c r="K27" s="5"/>
      <c r="L27" s="2"/>
      <c r="N27" s="90"/>
      <c r="O27" s="95"/>
      <c r="P27" s="18"/>
      <c r="Q27" s="18"/>
      <c r="R27" s="18"/>
      <c r="S27" s="18"/>
      <c r="T27" s="18"/>
      <c r="U27" s="18"/>
      <c r="V27" s="18"/>
      <c r="W27" s="18"/>
      <c r="X27" s="2"/>
    </row>
    <row r="28" spans="1:24" x14ac:dyDescent="0.2">
      <c r="A28" s="172" t="str">
        <f>Historical!A28</f>
        <v>Net Plant &amp; Equipment</v>
      </c>
      <c r="B28" s="238">
        <f>B24-B26</f>
        <v>19162</v>
      </c>
      <c r="C28" s="172">
        <f>C24-C26</f>
        <v>19519.656701876611</v>
      </c>
      <c r="D28" s="172">
        <f t="shared" ref="D28:J28" si="13">D24-D26</f>
        <v>19917.148773419118</v>
      </c>
      <c r="E28" s="172">
        <f t="shared" si="13"/>
        <v>20596.094108511752</v>
      </c>
      <c r="F28" s="172">
        <f t="shared" si="13"/>
        <v>20922.670485435487</v>
      </c>
      <c r="G28" s="172">
        <f t="shared" si="13"/>
        <v>21199.389684905065</v>
      </c>
      <c r="H28" s="172">
        <f t="shared" si="13"/>
        <v>21476.034857636652</v>
      </c>
      <c r="I28" s="172">
        <f t="shared" si="13"/>
        <v>21752.376185884546</v>
      </c>
      <c r="J28" s="172">
        <f t="shared" si="13"/>
        <v>22028.170291490147</v>
      </c>
      <c r="K28" s="179">
        <f>RATE(8,,-B28,J28)</f>
        <v>1.7576804326227317E-2</v>
      </c>
      <c r="L28" s="2"/>
      <c r="M28" s="172" t="str">
        <f>A28</f>
        <v>Net Plant &amp; Equipment</v>
      </c>
      <c r="N28" s="90">
        <f t="shared" ref="N28:V28" si="14">B28/B$38</f>
        <v>0.85567562740019643</v>
      </c>
      <c r="O28" s="95">
        <f t="shared" ca="1" si="14"/>
        <v>0.85220777438574247</v>
      </c>
      <c r="P28" s="18">
        <f t="shared" ca="1" si="14"/>
        <v>0.85218550839815665</v>
      </c>
      <c r="Q28" s="18">
        <f t="shared" ca="1" si="14"/>
        <v>0.85355431780138402</v>
      </c>
      <c r="R28" s="18">
        <f t="shared" ca="1" si="14"/>
        <v>0.85256257404912772</v>
      </c>
      <c r="S28" s="18">
        <f t="shared" ca="1" si="14"/>
        <v>0.85144102050735704</v>
      </c>
      <c r="T28" s="18">
        <f t="shared" ca="1" si="14"/>
        <v>0.85029093973337144</v>
      </c>
      <c r="U28" s="18">
        <f t="shared" ca="1" si="14"/>
        <v>0.84911116484620253</v>
      </c>
      <c r="V28" s="18">
        <f t="shared" si="14"/>
        <v>0.88112681165960594</v>
      </c>
      <c r="W28" s="18">
        <f ca="1">SUM(C28:J28)/SUM($C$38:$J$38)</f>
        <v>0.85535931208283145</v>
      </c>
      <c r="X28" s="2"/>
    </row>
    <row r="29" spans="1:24" x14ac:dyDescent="0.2">
      <c r="A29" s="172"/>
      <c r="B29" s="77"/>
      <c r="C29" s="2"/>
      <c r="D29" s="2"/>
      <c r="E29" s="2"/>
      <c r="F29" s="2"/>
      <c r="G29" s="2"/>
      <c r="H29" s="2"/>
      <c r="I29" s="2"/>
      <c r="J29" s="2"/>
      <c r="K29" s="5"/>
      <c r="L29" s="2"/>
      <c r="N29" s="90"/>
      <c r="O29" s="95"/>
      <c r="P29" s="18"/>
      <c r="Q29" s="18"/>
      <c r="R29" s="18"/>
      <c r="S29" s="18"/>
      <c r="T29" s="18"/>
      <c r="U29" s="18"/>
      <c r="V29" s="18"/>
      <c r="W29" s="18"/>
      <c r="X29" s="2"/>
    </row>
    <row r="30" spans="1:24" x14ac:dyDescent="0.2">
      <c r="A30" s="172" t="str">
        <f>Historical!A30</f>
        <v>Other Assets:</v>
      </c>
      <c r="B30" s="77"/>
      <c r="C30" s="2"/>
      <c r="D30" s="2"/>
      <c r="E30" s="2"/>
      <c r="F30" s="2"/>
      <c r="G30" s="2"/>
      <c r="H30" s="2"/>
      <c r="I30" s="2"/>
      <c r="J30" s="2"/>
      <c r="K30" s="5"/>
      <c r="L30" s="2"/>
      <c r="M30" s="172" t="str">
        <f>A30</f>
        <v>Other Assets:</v>
      </c>
      <c r="N30" s="90"/>
      <c r="O30" s="95"/>
      <c r="P30" s="18"/>
      <c r="Q30" s="18"/>
      <c r="R30" s="18"/>
      <c r="S30" s="18"/>
      <c r="T30" s="18"/>
      <c r="U30" s="18"/>
      <c r="V30" s="18"/>
      <c r="W30" s="18"/>
      <c r="X30" s="2"/>
    </row>
    <row r="31" spans="1:24" x14ac:dyDescent="0.2">
      <c r="A31" s="52" t="str">
        <f>Historical!A31</f>
        <v>Regulatory Assets</v>
      </c>
      <c r="B31" s="77">
        <f>Historical!R31</f>
        <v>1490</v>
      </c>
      <c r="C31" s="2">
        <f>Historical!S31</f>
        <v>1535</v>
      </c>
      <c r="D31" s="2">
        <f>(1+Assumptions!$C$28)*Forecast!C31</f>
        <v>1574.1240000674334</v>
      </c>
      <c r="E31" s="2">
        <f>(1+Assumptions!$C$28)*Forecast!D31</f>
        <v>1614.2451906112685</v>
      </c>
      <c r="F31" s="2">
        <f>(1+Assumptions!$C$28)*Forecast!E31</f>
        <v>1655.3889879704409</v>
      </c>
      <c r="G31" s="2">
        <f>(1+Assumptions!$C$28)*Forecast!F31</f>
        <v>1697.5814562942091</v>
      </c>
      <c r="H31" s="2">
        <f>(1+Assumptions!$C$28)*Forecast!G31</f>
        <v>1740.8493240535111</v>
      </c>
      <c r="I31" s="2">
        <f>(1+Assumptions!$C$28)*Forecast!H31</f>
        <v>1785.22000097316</v>
      </c>
      <c r="J31" s="2">
        <f>(1+Assumptions!$C$28)*Forecast!I31</f>
        <v>1830.7215953956079</v>
      </c>
      <c r="K31" s="5">
        <f>RATE(8,,-B31,J31)</f>
        <v>2.6075940867746349E-2</v>
      </c>
      <c r="L31" s="2"/>
      <c r="M31" s="52" t="str">
        <f t="shared" ref="M31:M38" si="15">A31</f>
        <v>Regulatory Assets</v>
      </c>
      <c r="N31" s="90">
        <f t="shared" ref="N31:V38" si="16">B31/B$38</f>
        <v>6.6535679199785661E-2</v>
      </c>
      <c r="O31" s="95">
        <f t="shared" ca="1" si="16"/>
        <v>6.7016492844177475E-2</v>
      </c>
      <c r="P31" s="18">
        <f t="shared" ca="1" si="16"/>
        <v>6.7351289913015172E-2</v>
      </c>
      <c r="Q31" s="18">
        <f t="shared" ca="1" si="16"/>
        <v>6.6898410212009263E-2</v>
      </c>
      <c r="R31" s="18">
        <f t="shared" ca="1" si="16"/>
        <v>6.7454233321654497E-2</v>
      </c>
      <c r="S31" s="18">
        <f t="shared" ca="1" si="16"/>
        <v>6.8180759400384566E-2</v>
      </c>
      <c r="T31" s="18">
        <f t="shared" ca="1" si="16"/>
        <v>6.8924660324683293E-2</v>
      </c>
      <c r="U31" s="18">
        <f t="shared" ca="1" si="16"/>
        <v>6.9686650395312563E-2</v>
      </c>
      <c r="V31" s="18">
        <f t="shared" si="16"/>
        <v>7.3228863815824316E-2</v>
      </c>
      <c r="W31" s="18">
        <f t="shared" ref="W31:W38" ca="1" si="17">SUM(C31:J31)/SUM($C$38:$J$38)</f>
        <v>6.8634176808855904E-2</v>
      </c>
      <c r="X31" s="2"/>
    </row>
    <row r="32" spans="1:24" hidden="1" x14ac:dyDescent="0.2">
      <c r="A32" s="52" t="str">
        <f>Historical!A32</f>
        <v>Intangible Assets-net</v>
      </c>
      <c r="B32" s="77">
        <f>Historical!R32</f>
        <v>0</v>
      </c>
      <c r="C32" s="2">
        <f t="shared" ref="C32:D34" si="18">B32</f>
        <v>0</v>
      </c>
      <c r="D32" s="2">
        <f t="shared" si="18"/>
        <v>0</v>
      </c>
      <c r="E32" s="2">
        <f t="shared" ref="E32:J32" si="19">D32</f>
        <v>0</v>
      </c>
      <c r="F32" s="2">
        <f t="shared" si="19"/>
        <v>0</v>
      </c>
      <c r="G32" s="2">
        <f t="shared" si="19"/>
        <v>0</v>
      </c>
      <c r="H32" s="2">
        <f t="shared" si="19"/>
        <v>0</v>
      </c>
      <c r="I32" s="2">
        <f t="shared" si="19"/>
        <v>0</v>
      </c>
      <c r="J32" s="2">
        <f t="shared" si="19"/>
        <v>0</v>
      </c>
      <c r="K32" s="5"/>
      <c r="L32" s="2"/>
      <c r="M32" s="52" t="str">
        <f t="shared" si="15"/>
        <v>Intangible Assets-net</v>
      </c>
      <c r="N32" s="90">
        <f t="shared" si="16"/>
        <v>0</v>
      </c>
      <c r="O32" s="95">
        <f t="shared" ca="1" si="16"/>
        <v>0</v>
      </c>
      <c r="P32" s="18">
        <f t="shared" ca="1" si="16"/>
        <v>0</v>
      </c>
      <c r="Q32" s="18">
        <f t="shared" ca="1" si="16"/>
        <v>0</v>
      </c>
      <c r="R32" s="18">
        <f t="shared" ca="1" si="16"/>
        <v>0</v>
      </c>
      <c r="S32" s="18">
        <f t="shared" ca="1" si="16"/>
        <v>0</v>
      </c>
      <c r="T32" s="18">
        <f t="shared" ca="1" si="16"/>
        <v>0</v>
      </c>
      <c r="U32" s="18">
        <f t="shared" ca="1" si="16"/>
        <v>0</v>
      </c>
      <c r="V32" s="18">
        <f t="shared" si="16"/>
        <v>0</v>
      </c>
      <c r="W32" s="18">
        <f t="shared" ca="1" si="17"/>
        <v>0</v>
      </c>
      <c r="X32" s="2"/>
    </row>
    <row r="33" spans="1:24" x14ac:dyDescent="0.2">
      <c r="A33" s="52" t="str">
        <f>Historical!A33</f>
        <v>Financial Assets/Derivatives</v>
      </c>
      <c r="B33" s="77">
        <f>Historical!R33</f>
        <v>0</v>
      </c>
      <c r="C33" s="2">
        <f ca="1">Assumptions!$C$30*Forecast!C38</f>
        <v>2.6045896351101918</v>
      </c>
      <c r="D33" s="2">
        <f ca="1">Assumptions!$C$30*Forecast!D38</f>
        <v>2.6576981075936401</v>
      </c>
      <c r="E33" s="2">
        <f ca="1">Assumptions!$C$30*Forecast!E38</f>
        <v>2.7438876714970579</v>
      </c>
      <c r="F33" s="2">
        <f ca="1">Assumptions!$C$30*Forecast!F38</f>
        <v>2.7906378205147737</v>
      </c>
      <c r="G33" s="2">
        <f ca="1">Assumptions!$C$30*Forecast!G38</f>
        <v>2.8312708190177776</v>
      </c>
      <c r="H33" s="2">
        <f ca="1">Assumptions!$C$30*Forecast!H38</f>
        <v>2.8720974615726269</v>
      </c>
      <c r="I33" s="2">
        <f ca="1">Assumptions!$C$30*Forecast!I38</f>
        <v>2.9130958758697245</v>
      </c>
      <c r="J33" s="2">
        <f>Assumptions!$C$30*Forecast!J38</f>
        <v>2.8428414111299833</v>
      </c>
      <c r="K33" s="5"/>
      <c r="L33" s="2"/>
      <c r="M33" s="52" t="str">
        <f t="shared" si="15"/>
        <v>Financial Assets/Derivatives</v>
      </c>
      <c r="N33" s="90">
        <f t="shared" si="16"/>
        <v>0</v>
      </c>
      <c r="O33" s="95">
        <f t="shared" ca="1" si="16"/>
        <v>1.1371365644519933E-4</v>
      </c>
      <c r="P33" s="18">
        <f t="shared" ca="1" si="16"/>
        <v>1.1371365644519933E-4</v>
      </c>
      <c r="Q33" s="18">
        <f t="shared" ca="1" si="16"/>
        <v>1.1371365644519933E-4</v>
      </c>
      <c r="R33" s="18">
        <f t="shared" ca="1" si="16"/>
        <v>1.1371365644519935E-4</v>
      </c>
      <c r="S33" s="18">
        <f t="shared" ca="1" si="16"/>
        <v>1.1371365644519933E-4</v>
      </c>
      <c r="T33" s="18">
        <f t="shared" ca="1" si="16"/>
        <v>1.1371365644519933E-4</v>
      </c>
      <c r="U33" s="18">
        <f t="shared" ca="1" si="16"/>
        <v>1.1371365644519932E-4</v>
      </c>
      <c r="V33" s="18">
        <f t="shared" si="16"/>
        <v>1.1371365644519933E-4</v>
      </c>
      <c r="W33" s="18">
        <f t="shared" ca="1" si="17"/>
        <v>1.1371365644519933E-4</v>
      </c>
      <c r="X33" s="2"/>
    </row>
    <row r="34" spans="1:24" hidden="1" x14ac:dyDescent="0.2">
      <c r="A34" s="52" t="str">
        <f>Historical!A34</f>
        <v>Investments in Affiliates</v>
      </c>
      <c r="B34" s="77">
        <f>Historical!R34</f>
        <v>0</v>
      </c>
      <c r="C34" s="2">
        <f t="shared" si="18"/>
        <v>0</v>
      </c>
      <c r="D34" s="2">
        <f t="shared" si="18"/>
        <v>0</v>
      </c>
      <c r="E34" s="2">
        <f t="shared" ref="E34:J34" si="20">D34</f>
        <v>0</v>
      </c>
      <c r="F34" s="2">
        <f t="shared" si="20"/>
        <v>0</v>
      </c>
      <c r="G34" s="2">
        <f t="shared" si="20"/>
        <v>0</v>
      </c>
      <c r="H34" s="2">
        <f t="shared" si="20"/>
        <v>0</v>
      </c>
      <c r="I34" s="2">
        <f t="shared" si="20"/>
        <v>0</v>
      </c>
      <c r="J34" s="2">
        <f t="shared" si="20"/>
        <v>0</v>
      </c>
      <c r="K34" s="5"/>
      <c r="L34" s="2"/>
      <c r="M34" s="52" t="str">
        <f t="shared" si="15"/>
        <v>Investments in Affiliates</v>
      </c>
      <c r="N34" s="90">
        <f t="shared" si="16"/>
        <v>0</v>
      </c>
      <c r="O34" s="95">
        <f t="shared" ca="1" si="16"/>
        <v>0</v>
      </c>
      <c r="P34" s="18">
        <f t="shared" ca="1" si="16"/>
        <v>0</v>
      </c>
      <c r="Q34" s="18">
        <f t="shared" ca="1" si="16"/>
        <v>0</v>
      </c>
      <c r="R34" s="18">
        <f t="shared" ca="1" si="16"/>
        <v>0</v>
      </c>
      <c r="S34" s="18">
        <f t="shared" ca="1" si="16"/>
        <v>0</v>
      </c>
      <c r="T34" s="18">
        <f t="shared" ca="1" si="16"/>
        <v>0</v>
      </c>
      <c r="U34" s="18">
        <f t="shared" ca="1" si="16"/>
        <v>0</v>
      </c>
      <c r="V34" s="18">
        <f t="shared" si="16"/>
        <v>0</v>
      </c>
      <c r="W34" s="18">
        <f t="shared" ca="1" si="17"/>
        <v>0</v>
      </c>
      <c r="X34" s="2"/>
    </row>
    <row r="35" spans="1:24" x14ac:dyDescent="0.2">
      <c r="A35" s="52" t="str">
        <f>Historical!A35</f>
        <v>Deferred Charges and Other</v>
      </c>
      <c r="B35" s="77">
        <f>Historical!R35</f>
        <v>388</v>
      </c>
      <c r="C35" s="3">
        <f ca="1">Assumptions!$C$32*Forecast!C38</f>
        <v>393.50568973103026</v>
      </c>
      <c r="D35" s="3">
        <f ca="1">Assumptions!$C$32*Forecast!D38</f>
        <v>401.52940518065299</v>
      </c>
      <c r="E35" s="3">
        <f ca="1">Assumptions!$C$32*Forecast!E38</f>
        <v>414.55106637988303</v>
      </c>
      <c r="F35" s="3">
        <f ca="1">Assumptions!$C$32*Forecast!F38</f>
        <v>421.61415585327194</v>
      </c>
      <c r="G35" s="3">
        <f ca="1">Assumptions!$C$32*Forecast!G38</f>
        <v>427.75305615688467</v>
      </c>
      <c r="H35" s="3">
        <f ca="1">Assumptions!$C$32*Forecast!H38</f>
        <v>433.92121252262575</v>
      </c>
      <c r="I35" s="3">
        <f ca="1">Assumptions!$C$32*Forecast!I38</f>
        <v>440.11532044595532</v>
      </c>
      <c r="J35" s="3">
        <f>Assumptions!$C$32*Forecast!J38</f>
        <v>429.50116026063046</v>
      </c>
      <c r="K35" s="5">
        <f>RATE(8,,-B35,J35)</f>
        <v>1.2783405909115912E-2</v>
      </c>
      <c r="L35" s="2"/>
      <c r="M35" s="52" t="str">
        <f t="shared" si="15"/>
        <v>Deferred Charges and Other</v>
      </c>
      <c r="N35" s="90">
        <f t="shared" si="16"/>
        <v>1.7326069482897204E-2</v>
      </c>
      <c r="O35" s="95">
        <f t="shared" ca="1" si="16"/>
        <v>1.7180046410425219E-2</v>
      </c>
      <c r="P35" s="18">
        <f t="shared" ca="1" si="16"/>
        <v>1.7180046410425219E-2</v>
      </c>
      <c r="Q35" s="18">
        <f t="shared" ca="1" si="16"/>
        <v>1.7180046410425219E-2</v>
      </c>
      <c r="R35" s="18">
        <f t="shared" ca="1" si="16"/>
        <v>1.7180046410425219E-2</v>
      </c>
      <c r="S35" s="18">
        <f t="shared" ca="1" si="16"/>
        <v>1.7180046410425219E-2</v>
      </c>
      <c r="T35" s="18">
        <f t="shared" ca="1" si="16"/>
        <v>1.7180046410425219E-2</v>
      </c>
      <c r="U35" s="18">
        <f t="shared" ca="1" si="16"/>
        <v>1.7180046410425219E-2</v>
      </c>
      <c r="V35" s="18">
        <f t="shared" si="16"/>
        <v>1.7180046410425219E-2</v>
      </c>
      <c r="W35" s="18">
        <f t="shared" ca="1" si="17"/>
        <v>1.7180046410425219E-2</v>
      </c>
      <c r="X35" s="2"/>
    </row>
    <row r="36" spans="1:24" x14ac:dyDescent="0.2">
      <c r="A36" s="172" t="str">
        <f>Historical!A36</f>
        <v>Total Other Assets</v>
      </c>
      <c r="B36" s="237">
        <f>SUM(B31:B35)</f>
        <v>1878</v>
      </c>
      <c r="C36" s="175">
        <f ca="1">SUM(C31:C35)</f>
        <v>1931.1102793661405</v>
      </c>
      <c r="D36" s="175">
        <f t="shared" ref="D36:J36" ca="1" si="21">SUM(D31:D35)</f>
        <v>1978.31110335568</v>
      </c>
      <c r="E36" s="175">
        <f t="shared" ca="1" si="21"/>
        <v>2031.5401446626486</v>
      </c>
      <c r="F36" s="175">
        <f t="shared" ca="1" si="21"/>
        <v>2079.7937816442277</v>
      </c>
      <c r="G36" s="175">
        <f t="shared" ca="1" si="21"/>
        <v>2128.1657832701117</v>
      </c>
      <c r="H36" s="175">
        <f t="shared" ca="1" si="21"/>
        <v>2177.6426340377093</v>
      </c>
      <c r="I36" s="175">
        <f t="shared" ca="1" si="21"/>
        <v>2228.2484172949848</v>
      </c>
      <c r="J36" s="175">
        <f t="shared" si="21"/>
        <v>2263.0655970673683</v>
      </c>
      <c r="K36" s="180">
        <f>RATE(8,,-B36,J36)</f>
        <v>2.3588020084788532E-2</v>
      </c>
      <c r="L36" s="2"/>
      <c r="M36" s="172" t="str">
        <f t="shared" si="15"/>
        <v>Total Other Assets</v>
      </c>
      <c r="N36" s="91">
        <f t="shared" si="16"/>
        <v>8.3861748682682868E-2</v>
      </c>
      <c r="O36" s="96">
        <f t="shared" ca="1" si="16"/>
        <v>8.4310252911047892E-2</v>
      </c>
      <c r="P36" s="97">
        <f t="shared" ca="1" si="16"/>
        <v>8.4645049979885589E-2</v>
      </c>
      <c r="Q36" s="97">
        <f t="shared" ca="1" si="16"/>
        <v>8.419217027887968E-2</v>
      </c>
      <c r="R36" s="97">
        <f t="shared" ca="1" si="16"/>
        <v>8.4747993388524928E-2</v>
      </c>
      <c r="S36" s="97">
        <f t="shared" ca="1" si="16"/>
        <v>8.5474519467254997E-2</v>
      </c>
      <c r="T36" s="97">
        <f t="shared" ca="1" si="16"/>
        <v>8.621842039155371E-2</v>
      </c>
      <c r="U36" s="97">
        <f t="shared" ca="1" si="16"/>
        <v>8.6980410462182967E-2</v>
      </c>
      <c r="V36" s="97">
        <f t="shared" si="16"/>
        <v>9.0522623882694733E-2</v>
      </c>
      <c r="W36" s="97">
        <f t="shared" ca="1" si="17"/>
        <v>8.5927936875726321E-2</v>
      </c>
      <c r="X36" s="2"/>
    </row>
    <row r="37" spans="1:24" x14ac:dyDescent="0.2">
      <c r="A37" s="52" t="str">
        <f>Historical!A37</f>
        <v>Total Non-Current Assets</v>
      </c>
      <c r="B37" s="85">
        <f>B28+B36</f>
        <v>21040</v>
      </c>
      <c r="C37" s="3">
        <f ca="1">C28+C36</f>
        <v>21450.766981242752</v>
      </c>
      <c r="D37" s="3">
        <f t="shared" ref="D37:J37" ca="1" si="22">D28+D36</f>
        <v>21895.459876774799</v>
      </c>
      <c r="E37" s="3">
        <f t="shared" ca="1" si="22"/>
        <v>22627.634253174401</v>
      </c>
      <c r="F37" s="3">
        <f t="shared" ca="1" si="22"/>
        <v>23002.464267079715</v>
      </c>
      <c r="G37" s="3">
        <f t="shared" ca="1" si="22"/>
        <v>23327.555468175178</v>
      </c>
      <c r="H37" s="3">
        <f t="shared" ca="1" si="22"/>
        <v>23653.67749167436</v>
      </c>
      <c r="I37" s="3">
        <f t="shared" ca="1" si="22"/>
        <v>23980.624603179531</v>
      </c>
      <c r="J37" s="3">
        <f t="shared" si="22"/>
        <v>24291.235888557516</v>
      </c>
      <c r="K37" s="17">
        <f>RATE(8,,-B37,J37)</f>
        <v>1.8123553169967638E-2</v>
      </c>
      <c r="L37" s="2"/>
      <c r="M37" s="52" t="str">
        <f t="shared" si="15"/>
        <v>Total Non-Current Assets</v>
      </c>
      <c r="N37" s="91">
        <f t="shared" si="16"/>
        <v>0.93953737608287935</v>
      </c>
      <c r="O37" s="93">
        <f t="shared" ca="1" si="16"/>
        <v>0.93651802729679046</v>
      </c>
      <c r="P37" s="17">
        <f t="shared" ca="1" si="16"/>
        <v>0.9368305583780423</v>
      </c>
      <c r="Q37" s="17">
        <f t="shared" ca="1" si="16"/>
        <v>0.93774648808026373</v>
      </c>
      <c r="R37" s="17">
        <f t="shared" ca="1" si="16"/>
        <v>0.93731056743765262</v>
      </c>
      <c r="S37" s="17">
        <f t="shared" ca="1" si="16"/>
        <v>0.93691553997461208</v>
      </c>
      <c r="T37" s="17">
        <f t="shared" ca="1" si="16"/>
        <v>0.93650936012492514</v>
      </c>
      <c r="U37" s="17">
        <f t="shared" ca="1" si="16"/>
        <v>0.93609157530838549</v>
      </c>
      <c r="V37" s="17">
        <f t="shared" si="16"/>
        <v>0.97164943554230065</v>
      </c>
      <c r="W37" s="17">
        <f t="shared" ca="1" si="17"/>
        <v>0.94128724895855775</v>
      </c>
      <c r="X37"/>
    </row>
    <row r="38" spans="1:24" ht="13.5" thickBot="1" x14ac:dyDescent="0.25">
      <c r="A38" s="172" t="str">
        <f>Historical!A38</f>
        <v>Total Assets</v>
      </c>
      <c r="B38" s="237">
        <f>B37+B17</f>
        <v>22394</v>
      </c>
      <c r="C38" s="240">
        <f t="shared" ref="C38:I38" ca="1" si="23">C37+C17</f>
        <v>22904.809470843025</v>
      </c>
      <c r="D38" s="240">
        <f t="shared" ca="1" si="23"/>
        <v>23371.8463610783</v>
      </c>
      <c r="E38" s="240">
        <f t="shared" ca="1" si="23"/>
        <v>24129.798981702668</v>
      </c>
      <c r="F38" s="240">
        <f t="shared" ca="1" si="23"/>
        <v>24540.920657666411</v>
      </c>
      <c r="G38" s="240">
        <f t="shared" ca="1" si="23"/>
        <v>24898.247998754821</v>
      </c>
      <c r="H38" s="240">
        <f t="shared" ca="1" si="23"/>
        <v>25257.278249220159</v>
      </c>
      <c r="I38" s="240">
        <f t="shared" ca="1" si="23"/>
        <v>25617.819063566902</v>
      </c>
      <c r="J38" s="240">
        <v>25000</v>
      </c>
      <c r="K38" s="180">
        <f>RATE(8,,-B38,J38)</f>
        <v>1.385545416939106E-2</v>
      </c>
      <c r="L38" s="2"/>
      <c r="M38" s="172" t="str">
        <f t="shared" si="15"/>
        <v>Total Assets</v>
      </c>
      <c r="N38" s="91">
        <f t="shared" si="16"/>
        <v>1</v>
      </c>
      <c r="O38" s="93">
        <f t="shared" ca="1" si="16"/>
        <v>1</v>
      </c>
      <c r="P38" s="17">
        <f t="shared" ca="1" si="16"/>
        <v>1</v>
      </c>
      <c r="Q38" s="17">
        <f t="shared" ca="1" si="16"/>
        <v>1</v>
      </c>
      <c r="R38" s="17">
        <f t="shared" ca="1" si="16"/>
        <v>1</v>
      </c>
      <c r="S38" s="17">
        <f t="shared" ca="1" si="16"/>
        <v>1</v>
      </c>
      <c r="T38" s="17">
        <f t="shared" ca="1" si="16"/>
        <v>1</v>
      </c>
      <c r="U38" s="17">
        <f t="shared" ca="1" si="16"/>
        <v>1</v>
      </c>
      <c r="V38" s="17">
        <f t="shared" si="16"/>
        <v>1</v>
      </c>
      <c r="W38" s="17">
        <f t="shared" ca="1" si="17"/>
        <v>1</v>
      </c>
      <c r="X38" s="2"/>
    </row>
    <row r="39" spans="1:24" ht="13.5" thickTop="1" x14ac:dyDescent="0.2">
      <c r="B39" s="86"/>
      <c r="C39" s="2"/>
      <c r="D39" s="2"/>
      <c r="E39" s="2"/>
      <c r="F39" s="2"/>
      <c r="G39" s="2"/>
      <c r="H39" s="2"/>
      <c r="I39" s="2"/>
      <c r="J39" s="2"/>
      <c r="K39" s="71"/>
      <c r="L39" s="2"/>
      <c r="N39" s="92"/>
      <c r="O39" s="94"/>
      <c r="P39" s="71"/>
      <c r="Q39" s="71"/>
      <c r="R39" s="71"/>
      <c r="S39" s="71"/>
      <c r="T39" s="71"/>
      <c r="U39" s="71"/>
      <c r="V39" s="71"/>
      <c r="W39" s="71"/>
      <c r="X39" s="2"/>
    </row>
    <row r="40" spans="1:24" ht="12.75" customHeight="1" x14ac:dyDescent="0.2">
      <c r="B40" s="77"/>
      <c r="C40" s="2"/>
      <c r="D40" s="2"/>
      <c r="E40" s="2"/>
      <c r="F40" s="2"/>
      <c r="G40" s="2"/>
      <c r="H40" s="2"/>
      <c r="I40" s="2"/>
      <c r="J40" s="2"/>
      <c r="K40" s="18"/>
      <c r="L40" s="2"/>
      <c r="N40" s="90"/>
      <c r="O40" s="18"/>
      <c r="P40" s="18"/>
      <c r="Q40" s="18"/>
      <c r="R40" s="18"/>
      <c r="S40" s="18"/>
      <c r="T40" s="18"/>
      <c r="U40" s="18"/>
      <c r="V40" s="18"/>
      <c r="W40" s="18"/>
      <c r="X40" s="2"/>
    </row>
    <row r="41" spans="1:24" ht="12.75" customHeight="1" x14ac:dyDescent="0.2">
      <c r="A41" s="172" t="str">
        <f>Historical!A41</f>
        <v>Current Liabilities:</v>
      </c>
      <c r="B41" s="77"/>
      <c r="C41" s="2"/>
      <c r="D41" s="2"/>
      <c r="E41" s="2"/>
      <c r="F41" s="2"/>
      <c r="G41" s="2"/>
      <c r="H41" s="2"/>
      <c r="I41" s="2"/>
      <c r="J41" s="2"/>
      <c r="K41" s="5"/>
      <c r="L41" s="2"/>
      <c r="M41" s="172" t="str">
        <f t="shared" ref="M41:M48" si="24">A41</f>
        <v>Current Liabilities:</v>
      </c>
      <c r="N41" s="90"/>
      <c r="O41" s="5"/>
      <c r="P41" s="5"/>
      <c r="Q41" s="5"/>
      <c r="R41" s="5"/>
      <c r="S41" s="5"/>
      <c r="T41" s="5"/>
      <c r="U41" s="5"/>
      <c r="V41" s="5"/>
      <c r="W41" s="5"/>
      <c r="X41" s="2"/>
    </row>
    <row r="42" spans="1:24" ht="12.75" customHeight="1" x14ac:dyDescent="0.2">
      <c r="A42" s="52" t="str">
        <f>Historical!A42</f>
        <v>Current Maturities LTD</v>
      </c>
      <c r="B42" s="77">
        <f>Historical!R42</f>
        <v>58</v>
      </c>
      <c r="C42" s="2">
        <f>Assumptions!$C$38*(Forecast!C50)</f>
        <v>135.4748875226235</v>
      </c>
      <c r="D42" s="2">
        <f>Assumptions!$C$38*(Forecast!D50)</f>
        <v>132.83903442061754</v>
      </c>
      <c r="E42" s="2">
        <f>Assumptions!$C$38*(Forecast!E50)</f>
        <v>130.25446552118527</v>
      </c>
      <c r="F42" s="2">
        <f>Assumptions!$C$38*(Forecast!F50)</f>
        <v>127.7201830185568</v>
      </c>
      <c r="G42" s="2">
        <f>Assumptions!$C$38*(Forecast!G50)</f>
        <v>125.23520852066683</v>
      </c>
      <c r="H42" s="2">
        <f>Assumptions!$C$38*(Forecast!H50)</f>
        <v>122.79858267143379</v>
      </c>
      <c r="I42" s="2">
        <f>Assumptions!$C$38*(Forecast!I50)</f>
        <v>120.40936478038826</v>
      </c>
      <c r="J42" s="2">
        <f>Assumptions!$C$38*(Forecast!J50)</f>
        <v>118.06663245950736</v>
      </c>
      <c r="K42" s="5">
        <f t="shared" ref="K42:K48" si="25">RATE(8,,-B42,J42)</f>
        <v>9.2917544847455069E-2</v>
      </c>
      <c r="L42" s="2"/>
      <c r="M42" s="52" t="str">
        <f t="shared" si="24"/>
        <v>Current Maturities LTD</v>
      </c>
      <c r="N42" s="90">
        <f t="shared" ref="N42:V48" si="26">B42/B$38</f>
        <v>2.5899794587836028E-3</v>
      </c>
      <c r="O42" s="95">
        <f t="shared" ca="1" si="26"/>
        <v>5.9146917460753392E-3</v>
      </c>
      <c r="P42" s="18">
        <f t="shared" ca="1" si="26"/>
        <v>5.6837201634971201E-3</v>
      </c>
      <c r="Q42" s="18">
        <f t="shared" ca="1" si="26"/>
        <v>5.3980750365950269E-3</v>
      </c>
      <c r="R42" s="18">
        <f t="shared" ca="1" si="26"/>
        <v>5.2043761845853125E-3</v>
      </c>
      <c r="S42" s="18">
        <f t="shared" ca="1" si="26"/>
        <v>5.0298803565186571E-3</v>
      </c>
      <c r="T42" s="18">
        <f t="shared" ca="1" si="26"/>
        <v>4.8619087717903771E-3</v>
      </c>
      <c r="U42" s="18">
        <f t="shared" ca="1" si="26"/>
        <v>4.7002191904630865E-3</v>
      </c>
      <c r="V42" s="18">
        <f t="shared" si="26"/>
        <v>4.7226652983802945E-3</v>
      </c>
      <c r="W42" s="18">
        <f t="shared" ref="W42:W48" ca="1" si="27">SUM(C42:J42)/SUM($C$38:$J$38)</f>
        <v>5.1747119817669154E-3</v>
      </c>
      <c r="X42" s="2"/>
    </row>
    <row r="43" spans="1:24" ht="12.75" customHeight="1" x14ac:dyDescent="0.2">
      <c r="A43" s="52" t="str">
        <f>Historical!A43</f>
        <v>Short-term Debt</v>
      </c>
      <c r="B43" s="77">
        <f>Historical!R43</f>
        <v>270</v>
      </c>
      <c r="C43" s="2">
        <f ca="1">C38*Assumptions!$C$39</f>
        <v>59.699968269232116</v>
      </c>
      <c r="D43" s="2">
        <f ca="1">D38*Assumptions!$C$39</f>
        <v>60.917271017945197</v>
      </c>
      <c r="E43" s="2">
        <f ca="1">E38*Assumptions!$C$39</f>
        <v>62.89282761266201</v>
      </c>
      <c r="F43" s="2">
        <f ca="1">F38*Assumptions!$C$39</f>
        <v>63.964390816061389</v>
      </c>
      <c r="G43" s="2">
        <f ca="1">G38*Assumptions!$C$39</f>
        <v>64.895742415028522</v>
      </c>
      <c r="H43" s="2">
        <f ca="1">H38*Assumptions!$C$39</f>
        <v>65.831532541890738</v>
      </c>
      <c r="I43" s="2">
        <f ca="1">I38*Assumptions!$C$39</f>
        <v>66.771259860018546</v>
      </c>
      <c r="J43" s="2">
        <f>J38*Assumptions!$C$39</f>
        <v>65.160952708674529</v>
      </c>
      <c r="K43" s="5"/>
      <c r="L43" s="2"/>
      <c r="M43" s="52" t="str">
        <f t="shared" si="24"/>
        <v>Short-term Debt</v>
      </c>
      <c r="N43" s="90">
        <f t="shared" si="26"/>
        <v>1.205680092882022E-2</v>
      </c>
      <c r="O43" s="95">
        <f t="shared" ca="1" si="26"/>
        <v>2.6064381083469811E-3</v>
      </c>
      <c r="P43" s="18">
        <f t="shared" ca="1" si="26"/>
        <v>2.6064381083469811E-3</v>
      </c>
      <c r="Q43" s="18">
        <f t="shared" ca="1" si="26"/>
        <v>2.6064381083469811E-3</v>
      </c>
      <c r="R43" s="18">
        <f t="shared" ca="1" si="26"/>
        <v>2.6064381083469811E-3</v>
      </c>
      <c r="S43" s="18">
        <f t="shared" ca="1" si="26"/>
        <v>2.6064381083469811E-3</v>
      </c>
      <c r="T43" s="18">
        <f t="shared" ca="1" si="26"/>
        <v>2.6064381083469811E-3</v>
      </c>
      <c r="U43" s="18">
        <f t="shared" ca="1" si="26"/>
        <v>2.6064381083469811E-3</v>
      </c>
      <c r="V43" s="18">
        <f t="shared" si="26"/>
        <v>2.6064381083469811E-3</v>
      </c>
      <c r="W43" s="18">
        <f t="shared" ca="1" si="27"/>
        <v>2.6064381083469807E-3</v>
      </c>
      <c r="X43" s="2"/>
    </row>
    <row r="44" spans="1:24" ht="12.75" customHeight="1" x14ac:dyDescent="0.2">
      <c r="A44" s="52" t="str">
        <f>Historical!A44</f>
        <v>Accounts Payable</v>
      </c>
      <c r="B44" s="77">
        <f>Historical!R44</f>
        <v>408</v>
      </c>
      <c r="C44" s="2">
        <f>Assumptions!$C$40*Forecast!C80</f>
        <v>477.48490549880393</v>
      </c>
      <c r="D44" s="2">
        <f>Assumptions!$C$40*Forecast!D80</f>
        <v>483.56996070236534</v>
      </c>
      <c r="E44" s="2">
        <f>Assumptions!$C$40*Forecast!E80</f>
        <v>489.73256369100642</v>
      </c>
      <c r="F44" s="2">
        <f>Assumptions!$C$40*Forecast!F80</f>
        <v>504.88457226022217</v>
      </c>
      <c r="G44" s="2">
        <f>Assumptions!$C$40*Forecast!G80</f>
        <v>517.75304394696809</v>
      </c>
      <c r="H44" s="2">
        <f>Assumptions!$C$40*Forecast!H80</f>
        <v>530.94950656996161</v>
      </c>
      <c r="I44" s="2">
        <f>Assumptions!$C$40*Forecast!I80</f>
        <v>544.48231994510616</v>
      </c>
      <c r="J44" s="2">
        <f>Assumptions!$C$40*Forecast!J80</f>
        <v>558.36005696285781</v>
      </c>
      <c r="K44" s="5">
        <f t="shared" si="25"/>
        <v>3.9996247950966846E-2</v>
      </c>
      <c r="L44" s="2"/>
      <c r="M44" s="52" t="str">
        <f t="shared" si="24"/>
        <v>Accounts Payable</v>
      </c>
      <c r="N44" s="90">
        <f t="shared" si="26"/>
        <v>1.8219165847995E-2</v>
      </c>
      <c r="O44" s="95">
        <f t="shared" ca="1" si="26"/>
        <v>2.0846491044015213E-2</v>
      </c>
      <c r="P44" s="18">
        <f t="shared" ca="1" si="26"/>
        <v>2.0690276379176704E-2</v>
      </c>
      <c r="Q44" s="18">
        <f t="shared" ca="1" si="26"/>
        <v>2.029575812307283E-2</v>
      </c>
      <c r="R44" s="18">
        <f t="shared" ca="1" si="26"/>
        <v>2.0573171614183098E-2</v>
      </c>
      <c r="S44" s="18">
        <f t="shared" ca="1" si="26"/>
        <v>2.0794758087912903E-2</v>
      </c>
      <c r="T44" s="18">
        <f t="shared" ca="1" si="26"/>
        <v>2.102164379435283E-2</v>
      </c>
      <c r="U44" s="18">
        <f t="shared" ca="1" si="26"/>
        <v>2.1254046591321935E-2</v>
      </c>
      <c r="V44" s="18">
        <f t="shared" si="26"/>
        <v>2.2334402278514312E-2</v>
      </c>
      <c r="W44" s="18">
        <f t="shared" ca="1" si="27"/>
        <v>2.0985089944230154E-2</v>
      </c>
      <c r="X44" s="2"/>
    </row>
    <row r="45" spans="1:24" x14ac:dyDescent="0.2">
      <c r="A45" s="52" t="str">
        <f>Historical!A45</f>
        <v>Accrued Expenses</v>
      </c>
      <c r="B45" s="77">
        <f>Historical!R45</f>
        <v>245</v>
      </c>
      <c r="C45" s="2">
        <f ca="1">Assumptions!$C$41*Forecast!C38</f>
        <v>261.02352451562649</v>
      </c>
      <c r="D45" s="2">
        <f ca="1">Assumptions!$C$41*Forecast!D38</f>
        <v>266.34588335573005</v>
      </c>
      <c r="E45" s="2">
        <f ca="1">Assumptions!$C$41*Forecast!E38</f>
        <v>274.98352187016849</v>
      </c>
      <c r="F45" s="2">
        <f ca="1">Assumptions!$C$41*Forecast!F38</f>
        <v>279.66867015753724</v>
      </c>
      <c r="G45" s="2">
        <f ca="1">Assumptions!$C$41*Forecast!G38</f>
        <v>283.74077746301055</v>
      </c>
      <c r="H45" s="2">
        <f ca="1">Assumptions!$C$41*Forecast!H38</f>
        <v>287.83229114722116</v>
      </c>
      <c r="I45" s="2">
        <f ca="1">Assumptions!$C$41*Forecast!I38</f>
        <v>291.94101923825019</v>
      </c>
      <c r="J45" s="2">
        <f>Assumptions!$C$41*Forecast!J38</f>
        <v>284.90034467204345</v>
      </c>
      <c r="K45" s="5">
        <f t="shared" si="25"/>
        <v>1.9039131221837719E-2</v>
      </c>
      <c r="L45" s="2"/>
      <c r="M45" s="52" t="str">
        <f t="shared" si="24"/>
        <v>Accrued Expenses</v>
      </c>
      <c r="N45" s="90">
        <f t="shared" si="26"/>
        <v>1.0940430472447978E-2</v>
      </c>
      <c r="O45" s="95">
        <f t="shared" ca="1" si="26"/>
        <v>1.1396013786881737E-2</v>
      </c>
      <c r="P45" s="18">
        <f t="shared" ca="1" si="26"/>
        <v>1.1396013786881737E-2</v>
      </c>
      <c r="Q45" s="18">
        <f t="shared" ca="1" si="26"/>
        <v>1.1396013786881737E-2</v>
      </c>
      <c r="R45" s="18">
        <f t="shared" ca="1" si="26"/>
        <v>1.1396013786881737E-2</v>
      </c>
      <c r="S45" s="18">
        <f t="shared" ca="1" si="26"/>
        <v>1.1396013786881737E-2</v>
      </c>
      <c r="T45" s="18">
        <f t="shared" ca="1" si="26"/>
        <v>1.1396013786881737E-2</v>
      </c>
      <c r="U45" s="18">
        <f t="shared" ca="1" si="26"/>
        <v>1.1396013786881737E-2</v>
      </c>
      <c r="V45" s="18">
        <f t="shared" si="26"/>
        <v>1.1396013786881739E-2</v>
      </c>
      <c r="W45" s="18">
        <f t="shared" ca="1" si="27"/>
        <v>1.1396013786881737E-2</v>
      </c>
      <c r="X45" s="2"/>
    </row>
    <row r="46" spans="1:24" x14ac:dyDescent="0.2">
      <c r="A46" s="52" t="str">
        <f>Historical!A46</f>
        <v>Derivative Contacts</v>
      </c>
      <c r="B46" s="77">
        <f>Historical!R46</f>
        <v>0</v>
      </c>
      <c r="C46" s="2">
        <f>Assumptions!$C$42*Forecast!C80</f>
        <v>0</v>
      </c>
      <c r="D46" s="2">
        <f>Assumptions!$C$42*Forecast!D80</f>
        <v>0</v>
      </c>
      <c r="E46" s="2">
        <f>Assumptions!$C$42*Forecast!E80</f>
        <v>0</v>
      </c>
      <c r="F46" s="2">
        <f>Assumptions!$C$42*Forecast!F80</f>
        <v>0</v>
      </c>
      <c r="G46" s="2">
        <f>Assumptions!$C$42*Forecast!G80</f>
        <v>0</v>
      </c>
      <c r="H46" s="2">
        <f>Assumptions!$C$42*Forecast!H80</f>
        <v>0</v>
      </c>
      <c r="I46" s="2">
        <f>Assumptions!$C$42*Forecast!I80</f>
        <v>0</v>
      </c>
      <c r="J46" s="2">
        <f>Assumptions!$C$42*Forecast!J80</f>
        <v>0</v>
      </c>
      <c r="K46" s="5"/>
      <c r="L46" s="2"/>
      <c r="M46" s="52" t="str">
        <f t="shared" si="24"/>
        <v>Derivative Contacts</v>
      </c>
      <c r="N46" s="90">
        <f t="shared" si="26"/>
        <v>0</v>
      </c>
      <c r="O46" s="95">
        <f t="shared" ca="1" si="26"/>
        <v>0</v>
      </c>
      <c r="P46" s="18">
        <f t="shared" ca="1" si="26"/>
        <v>0</v>
      </c>
      <c r="Q46" s="18">
        <f t="shared" ca="1" si="26"/>
        <v>0</v>
      </c>
      <c r="R46" s="18">
        <f t="shared" ca="1" si="26"/>
        <v>0</v>
      </c>
      <c r="S46" s="18">
        <f t="shared" ca="1" si="26"/>
        <v>0</v>
      </c>
      <c r="T46" s="18">
        <f t="shared" ca="1" si="26"/>
        <v>0</v>
      </c>
      <c r="U46" s="18">
        <f t="shared" ca="1" si="26"/>
        <v>0</v>
      </c>
      <c r="V46" s="18">
        <f t="shared" si="26"/>
        <v>0</v>
      </c>
      <c r="W46" s="18">
        <f t="shared" ca="1" si="27"/>
        <v>0</v>
      </c>
      <c r="X46" s="2"/>
    </row>
    <row r="47" spans="1:24" x14ac:dyDescent="0.2">
      <c r="A47" s="52" t="str">
        <f>Historical!A47</f>
        <v xml:space="preserve">Other </v>
      </c>
      <c r="B47" s="77">
        <f>Historical!R47</f>
        <v>218</v>
      </c>
      <c r="C47" s="3">
        <f ca="1">Assumptions!$C$43*Forecast!C38</f>
        <v>260.02475428536502</v>
      </c>
      <c r="D47" s="3">
        <f ca="1">Assumptions!$C$43*Forecast!D38</f>
        <v>265.3267478592569</v>
      </c>
      <c r="E47" s="3">
        <f ca="1">Assumptions!$C$43*Forecast!E38</f>
        <v>273.9313356506849</v>
      </c>
      <c r="F47" s="3">
        <f ca="1">Assumptions!$C$43*Forecast!F38</f>
        <v>278.5985568694399</v>
      </c>
      <c r="G47" s="3">
        <f ca="1">Assumptions!$C$43*Forecast!G38</f>
        <v>282.6550828223946</v>
      </c>
      <c r="H47" s="3">
        <f ca="1">Assumptions!$C$43*Forecast!H38</f>
        <v>286.73094089827612</v>
      </c>
      <c r="I47" s="3">
        <f ca="1">Assumptions!$C$43*Forecast!I38</f>
        <v>290.82394751244141</v>
      </c>
      <c r="J47" s="3">
        <f>Assumptions!$C$43*Forecast!J38</f>
        <v>283.81021310869983</v>
      </c>
      <c r="K47" s="5">
        <f t="shared" si="25"/>
        <v>3.35260816272447E-2</v>
      </c>
      <c r="L47" s="2"/>
      <c r="M47" s="52" t="str">
        <f t="shared" si="24"/>
        <v xml:space="preserve">Other </v>
      </c>
      <c r="N47" s="90">
        <f t="shared" si="26"/>
        <v>9.7347503795659554E-3</v>
      </c>
      <c r="O47" s="95">
        <f t="shared" ca="1" si="26"/>
        <v>1.1352408524347993E-2</v>
      </c>
      <c r="P47" s="18">
        <f t="shared" ca="1" si="26"/>
        <v>1.1352408524347992E-2</v>
      </c>
      <c r="Q47" s="18">
        <f t="shared" ca="1" si="26"/>
        <v>1.1352408524347993E-2</v>
      </c>
      <c r="R47" s="18">
        <f t="shared" ca="1" si="26"/>
        <v>1.1352408524347992E-2</v>
      </c>
      <c r="S47" s="18">
        <f t="shared" ca="1" si="26"/>
        <v>1.1352408524347993E-2</v>
      </c>
      <c r="T47" s="18">
        <f t="shared" ca="1" si="26"/>
        <v>1.1352408524347995E-2</v>
      </c>
      <c r="U47" s="18">
        <f t="shared" ca="1" si="26"/>
        <v>1.1352408524347993E-2</v>
      </c>
      <c r="V47" s="18">
        <f t="shared" si="26"/>
        <v>1.1352408524347993E-2</v>
      </c>
      <c r="W47" s="18">
        <f t="shared" ca="1" si="27"/>
        <v>1.1352408524347992E-2</v>
      </c>
      <c r="X47" s="2"/>
    </row>
    <row r="48" spans="1:24" x14ac:dyDescent="0.2">
      <c r="A48" s="172" t="str">
        <f>Historical!A48</f>
        <v>Total Current Liabilities</v>
      </c>
      <c r="B48" s="237">
        <f>SUM(B42:B47)</f>
        <v>1199</v>
      </c>
      <c r="C48" s="172">
        <f t="shared" ref="C48:J48" ca="1" si="28">SUM(C41:C47)</f>
        <v>1193.7080400916511</v>
      </c>
      <c r="D48" s="172">
        <f t="shared" ca="1" si="28"/>
        <v>1208.998897355915</v>
      </c>
      <c r="E48" s="172">
        <f t="shared" ca="1" si="28"/>
        <v>1231.7947143457072</v>
      </c>
      <c r="F48" s="172">
        <f t="shared" ca="1" si="28"/>
        <v>1254.8363731218174</v>
      </c>
      <c r="G48" s="172">
        <f t="shared" ca="1" si="28"/>
        <v>1274.2798551680687</v>
      </c>
      <c r="H48" s="172">
        <f t="shared" ca="1" si="28"/>
        <v>1294.1428538287832</v>
      </c>
      <c r="I48" s="172">
        <f t="shared" ca="1" si="28"/>
        <v>1314.4279113362045</v>
      </c>
      <c r="J48" s="172">
        <f t="shared" si="28"/>
        <v>1310.2981999117831</v>
      </c>
      <c r="K48" s="180">
        <f t="shared" si="25"/>
        <v>1.1157645953735846E-2</v>
      </c>
      <c r="L48" s="2"/>
      <c r="M48" s="172" t="str">
        <f t="shared" si="24"/>
        <v>Total Current Liabilities</v>
      </c>
      <c r="N48" s="91">
        <f t="shared" si="26"/>
        <v>5.3541127087612751E-2</v>
      </c>
      <c r="O48" s="93">
        <f t="shared" ca="1" si="26"/>
        <v>5.2116043209667264E-2</v>
      </c>
      <c r="P48" s="17">
        <f t="shared" ca="1" si="26"/>
        <v>5.1728856962250533E-2</v>
      </c>
      <c r="Q48" s="17">
        <f t="shared" ca="1" si="26"/>
        <v>5.1048693579244575E-2</v>
      </c>
      <c r="R48" s="17">
        <f t="shared" ca="1" si="26"/>
        <v>5.113240821834511E-2</v>
      </c>
      <c r="S48" s="17">
        <f t="shared" ca="1" si="26"/>
        <v>5.1179498864008278E-2</v>
      </c>
      <c r="T48" s="17">
        <f t="shared" ca="1" si="26"/>
        <v>5.1238412985719912E-2</v>
      </c>
      <c r="U48" s="17">
        <f t="shared" ca="1" si="26"/>
        <v>5.1309126201361729E-2</v>
      </c>
      <c r="V48" s="17">
        <f t="shared" si="26"/>
        <v>5.2411927996471319E-2</v>
      </c>
      <c r="W48" s="17">
        <f t="shared" ca="1" si="27"/>
        <v>5.1514662345573781E-2</v>
      </c>
      <c r="X48" s="2"/>
    </row>
    <row r="49" spans="1:24" x14ac:dyDescent="0.2">
      <c r="B49" s="77"/>
      <c r="C49" s="2"/>
      <c r="D49" s="2"/>
      <c r="E49" s="2"/>
      <c r="F49" s="2"/>
      <c r="G49" s="2"/>
      <c r="H49" s="2"/>
      <c r="I49" s="2"/>
      <c r="J49" s="2"/>
      <c r="K49" s="5"/>
      <c r="L49" s="2"/>
      <c r="N49" s="90"/>
      <c r="O49" s="95"/>
      <c r="P49" s="18"/>
      <c r="Q49" s="18"/>
      <c r="R49" s="18"/>
      <c r="S49" s="18"/>
      <c r="T49" s="18"/>
      <c r="U49" s="18"/>
      <c r="V49" s="18"/>
      <c r="W49" s="18"/>
      <c r="X49" s="2"/>
    </row>
    <row r="50" spans="1:24" x14ac:dyDescent="0.2">
      <c r="A50" s="172" t="str">
        <f>Historical!A50</f>
        <v>Long-Term Debt</v>
      </c>
      <c r="B50" s="77">
        <f>Historical!R50</f>
        <v>7021</v>
      </c>
      <c r="C50" s="2">
        <f t="shared" ref="C50:J50" si="29">B50-B42</f>
        <v>6963</v>
      </c>
      <c r="D50" s="2">
        <f t="shared" si="29"/>
        <v>6827.5251124773768</v>
      </c>
      <c r="E50" s="2">
        <f t="shared" si="29"/>
        <v>6694.6860780567595</v>
      </c>
      <c r="F50" s="2">
        <f t="shared" si="29"/>
        <v>6564.4316125355745</v>
      </c>
      <c r="G50" s="2">
        <f t="shared" si="29"/>
        <v>6436.7114295170177</v>
      </c>
      <c r="H50" s="2">
        <f t="shared" si="29"/>
        <v>6311.476220996351</v>
      </c>
      <c r="I50" s="2">
        <f t="shared" si="29"/>
        <v>6188.6776383249171</v>
      </c>
      <c r="J50" s="2">
        <f t="shared" si="29"/>
        <v>6068.2682735445287</v>
      </c>
      <c r="K50" s="5">
        <f>RATE(8,,-B50,J50)</f>
        <v>-1.8063904186112346E-2</v>
      </c>
      <c r="L50" s="2"/>
      <c r="M50" s="52" t="str">
        <f>A50</f>
        <v>Long-Term Debt</v>
      </c>
      <c r="N50" s="90">
        <f t="shared" ref="N50:V52" si="30">B50/B$38</f>
        <v>0.31352147896758059</v>
      </c>
      <c r="O50" s="95">
        <f t="shared" ca="1" si="30"/>
        <v>0.3039972896899073</v>
      </c>
      <c r="P50" s="18">
        <f t="shared" ca="1" si="30"/>
        <v>0.29212604802363495</v>
      </c>
      <c r="Q50" s="18">
        <f t="shared" ca="1" si="30"/>
        <v>0.27744475132732177</v>
      </c>
      <c r="R50" s="18">
        <f t="shared" ca="1" si="30"/>
        <v>0.26748921542537535</v>
      </c>
      <c r="S50" s="18">
        <f t="shared" ca="1" si="30"/>
        <v>0.25852065694899184</v>
      </c>
      <c r="T50" s="18">
        <f t="shared" ca="1" si="30"/>
        <v>0.24988742487291651</v>
      </c>
      <c r="U50" s="18">
        <f t="shared" ca="1" si="30"/>
        <v>0.24157706879608334</v>
      </c>
      <c r="V50" s="18">
        <f t="shared" si="30"/>
        <v>0.24273073094178116</v>
      </c>
      <c r="W50" s="18">
        <f ca="1">SUM(C50:J50)/SUM($C$38:$J$38)</f>
        <v>0.26596456500490534</v>
      </c>
      <c r="X50" s="2"/>
    </row>
    <row r="51" spans="1:24" x14ac:dyDescent="0.2">
      <c r="A51" s="52" t="str">
        <f>Historical!A51</f>
        <v>Deferred Income Taxes</v>
      </c>
      <c r="B51" s="77">
        <f>Historical!R51</f>
        <v>4880</v>
      </c>
      <c r="C51" s="2">
        <f>C28*Assumptions!$C$47</f>
        <v>4971.0846834963913</v>
      </c>
      <c r="D51" s="2">
        <f>D28*Assumptions!$C$47</f>
        <v>5072.314268567231</v>
      </c>
      <c r="E51" s="2">
        <f>E28*Assumptions!$C$47</f>
        <v>5245.2217539681315</v>
      </c>
      <c r="F51" s="2">
        <f>F28*Assumptions!$C$47</f>
        <v>5328.3911892769629</v>
      </c>
      <c r="G51" s="2">
        <f>G28*Assumptions!$C$47</f>
        <v>5398.863462182273</v>
      </c>
      <c r="H51" s="2">
        <f>H28*Assumptions!$C$47</f>
        <v>5469.3168826462188</v>
      </c>
      <c r="I51" s="2">
        <f>I28*Assumptions!$C$47</f>
        <v>5539.6929228220733</v>
      </c>
      <c r="J51" s="2">
        <f>J28*Assumptions!$C$47</f>
        <v>5609.9296014232286</v>
      </c>
      <c r="K51" s="5">
        <f>RATE(8,,-B51,J51)</f>
        <v>1.7576804326227352E-2</v>
      </c>
      <c r="L51" s="2"/>
      <c r="M51" s="52" t="str">
        <f>A51</f>
        <v>Deferred Income Taxes</v>
      </c>
      <c r="N51" s="90">
        <f t="shared" si="30"/>
        <v>0.21791551308386176</v>
      </c>
      <c r="O51" s="95">
        <f t="shared" ca="1" si="30"/>
        <v>0.21703235252074016</v>
      </c>
      <c r="P51" s="18">
        <f t="shared" ca="1" si="30"/>
        <v>0.21702668202604131</v>
      </c>
      <c r="Q51" s="18">
        <f t="shared" ca="1" si="30"/>
        <v>0.21737527767825662</v>
      </c>
      <c r="R51" s="18">
        <f t="shared" ca="1" si="30"/>
        <v>0.21712270960023705</v>
      </c>
      <c r="S51" s="18">
        <f t="shared" ca="1" si="30"/>
        <v>0.21683708277193936</v>
      </c>
      <c r="T51" s="18">
        <f t="shared" ca="1" si="30"/>
        <v>0.21654419089337501</v>
      </c>
      <c r="U51" s="18">
        <f t="shared" ca="1" si="30"/>
        <v>0.21624373679414821</v>
      </c>
      <c r="V51" s="18">
        <f t="shared" si="30"/>
        <v>0.22439718405692916</v>
      </c>
      <c r="W51" s="18">
        <f ca="1">SUM(C51:J51)/SUM($C$38:$J$38)</f>
        <v>0.21783495683979842</v>
      </c>
      <c r="X51" s="2"/>
    </row>
    <row r="52" spans="1:24" x14ac:dyDescent="0.2">
      <c r="A52" s="52" t="str">
        <f>Historical!A52</f>
        <v>Derivative Contracts</v>
      </c>
      <c r="B52" s="77">
        <f>Historical!R52</f>
        <v>0</v>
      </c>
      <c r="C52" s="2">
        <f>Assumptions!$C$48*Forecast!C83</f>
        <v>0</v>
      </c>
      <c r="D52" s="2">
        <f>Assumptions!$C$48*Forecast!D83</f>
        <v>0</v>
      </c>
      <c r="E52" s="2">
        <f>Assumptions!$C$48*Forecast!E83</f>
        <v>0</v>
      </c>
      <c r="F52" s="2">
        <f>Assumptions!$C$48*Forecast!F83</f>
        <v>0</v>
      </c>
      <c r="G52" s="2">
        <f>Assumptions!$C$48*Forecast!G83</f>
        <v>0</v>
      </c>
      <c r="H52" s="2">
        <f>Assumptions!$C$48*Forecast!H83</f>
        <v>0</v>
      </c>
      <c r="I52" s="2">
        <f>Assumptions!$C$48*Forecast!I83</f>
        <v>0</v>
      </c>
      <c r="J52" s="2">
        <f>Assumptions!$C$48*Forecast!J83</f>
        <v>0</v>
      </c>
      <c r="K52" s="5"/>
      <c r="L52" s="2"/>
      <c r="M52" s="52" t="str">
        <f>A52</f>
        <v>Derivative Contracts</v>
      </c>
      <c r="N52" s="90">
        <f t="shared" si="30"/>
        <v>0</v>
      </c>
      <c r="O52" s="95">
        <f t="shared" ca="1" si="30"/>
        <v>0</v>
      </c>
      <c r="P52" s="18">
        <f t="shared" ca="1" si="30"/>
        <v>0</v>
      </c>
      <c r="Q52" s="18">
        <f t="shared" ca="1" si="30"/>
        <v>0</v>
      </c>
      <c r="R52" s="18">
        <f t="shared" ca="1" si="30"/>
        <v>0</v>
      </c>
      <c r="S52" s="18">
        <f t="shared" ca="1" si="30"/>
        <v>0</v>
      </c>
      <c r="T52" s="18">
        <f t="shared" ca="1" si="30"/>
        <v>0</v>
      </c>
      <c r="U52" s="18">
        <f t="shared" ca="1" si="30"/>
        <v>0</v>
      </c>
      <c r="V52" s="18">
        <f t="shared" si="30"/>
        <v>0</v>
      </c>
      <c r="W52" s="18">
        <f ca="1">SUM(C52:J52)/SUM($C$38:$J$38)</f>
        <v>0</v>
      </c>
      <c r="X52" s="2"/>
    </row>
    <row r="53" spans="1:24" ht="12.75" customHeight="1" x14ac:dyDescent="0.2">
      <c r="A53" s="52" t="str">
        <f>Historical!A53</f>
        <v>Other Long-term Liabilities</v>
      </c>
      <c r="B53" s="77">
        <f>Historical!R53</f>
        <v>1904</v>
      </c>
      <c r="C53" s="2">
        <f ca="1">C38*Assumptions!$C$49</f>
        <v>1930.8646306517549</v>
      </c>
      <c r="D53" s="2">
        <f ca="1">D38*Assumptions!$C$49</f>
        <v>1970.2356201250714</v>
      </c>
      <c r="E53" s="2">
        <f ca="1">E38*Assumptions!$C$49</f>
        <v>2034.130668400255</v>
      </c>
      <c r="F53" s="2">
        <f ca="1">F38*Assumptions!$C$49</f>
        <v>2068.7880316943338</v>
      </c>
      <c r="G53" s="2">
        <f ca="1">G38*Assumptions!$C$49</f>
        <v>2098.9105579415277</v>
      </c>
      <c r="H53" s="2">
        <f ca="1">H38*Assumptions!$C$49</f>
        <v>2129.1766386456711</v>
      </c>
      <c r="I53" s="2">
        <f ca="1">I38*Assumptions!$C$49</f>
        <v>2159.5700591722502</v>
      </c>
      <c r="J53" s="2">
        <f>J38*Assumptions!$C$49</f>
        <v>2107.4882036343438</v>
      </c>
      <c r="K53" s="5">
        <f>RATE(8,,-B53,J53)</f>
        <v>1.2773376106881817E-2</v>
      </c>
      <c r="L53" s="2"/>
      <c r="N53" s="90"/>
      <c r="O53" s="95"/>
      <c r="P53" s="18"/>
      <c r="Q53" s="18"/>
      <c r="R53" s="18"/>
      <c r="S53" s="18"/>
      <c r="T53" s="18"/>
      <c r="U53" s="18"/>
      <c r="V53" s="18"/>
      <c r="W53" s="18"/>
      <c r="X53" s="2"/>
    </row>
    <row r="54" spans="1:24" ht="12.75" customHeight="1" x14ac:dyDescent="0.2">
      <c r="A54" s="87" t="s">
        <v>136</v>
      </c>
      <c r="B54" s="77">
        <v>0</v>
      </c>
      <c r="C54" s="3">
        <f t="shared" ref="C54:J54" ca="1" si="31">C68</f>
        <v>349.1321109954136</v>
      </c>
      <c r="D54" s="3">
        <f t="shared" ca="1" si="31"/>
        <v>694.05338795138061</v>
      </c>
      <c r="E54" s="3">
        <f t="shared" ca="1" si="31"/>
        <v>1266.5853313494672</v>
      </c>
      <c r="F54" s="3">
        <f t="shared" ca="1" si="31"/>
        <v>1581.062544591796</v>
      </c>
      <c r="G54" s="3">
        <f t="shared" ca="1" si="31"/>
        <v>1838.9158068157824</v>
      </c>
      <c r="H54" s="3">
        <f t="shared" ca="1" si="31"/>
        <v>2072.0358765338792</v>
      </c>
      <c r="I54" s="3">
        <f t="shared" ca="1" si="31"/>
        <v>2278.6837461206851</v>
      </c>
      <c r="J54" s="3">
        <f t="shared" ca="1" si="31"/>
        <v>1566.8984956786389</v>
      </c>
      <c r="K54" s="5"/>
      <c r="L54" s="2"/>
      <c r="M54" s="52" t="str">
        <f>A54</f>
        <v>Additonal Loans</v>
      </c>
      <c r="N54" s="90">
        <f t="shared" ref="N54:V55" si="32">B54/B$38</f>
        <v>0</v>
      </c>
      <c r="O54" s="95">
        <f t="shared" ca="1" si="32"/>
        <v>1.5242742422277987E-2</v>
      </c>
      <c r="P54" s="18">
        <f t="shared" ca="1" si="32"/>
        <v>2.9696130003113681E-2</v>
      </c>
      <c r="Q54" s="18">
        <f t="shared" ca="1" si="32"/>
        <v>5.2490504886091402E-2</v>
      </c>
      <c r="R54" s="18">
        <f t="shared" ca="1" si="32"/>
        <v>6.4425559523492576E-2</v>
      </c>
      <c r="S54" s="18">
        <f t="shared" ca="1" si="32"/>
        <v>7.3857237140048881E-2</v>
      </c>
      <c r="T54" s="18">
        <f t="shared" ca="1" si="32"/>
        <v>8.2037179781944844E-2</v>
      </c>
      <c r="U54" s="18">
        <f t="shared" ca="1" si="32"/>
        <v>8.8949170125156324E-2</v>
      </c>
      <c r="V54" s="18">
        <f t="shared" ca="1" si="32"/>
        <v>6.267593982714556E-2</v>
      </c>
      <c r="W54" s="18">
        <f ca="1">SUM(C54:J54)/SUM($C$38:$J$38)</f>
        <v>5.9510139005469552E-2</v>
      </c>
      <c r="X54" s="2"/>
    </row>
    <row r="55" spans="1:24" ht="12.75" customHeight="1" x14ac:dyDescent="0.2">
      <c r="A55" s="172" t="str">
        <f>Historical!A54</f>
        <v>Total LTD &amp; Deferrals</v>
      </c>
      <c r="B55" s="237">
        <f t="shared" ref="B55:J55" si="33">SUM(B50:B54)</f>
        <v>13805</v>
      </c>
      <c r="C55" s="172">
        <f t="shared" ca="1" si="33"/>
        <v>14214.08142514356</v>
      </c>
      <c r="D55" s="172">
        <f t="shared" ca="1" si="33"/>
        <v>14564.128389121059</v>
      </c>
      <c r="E55" s="172">
        <f t="shared" ca="1" si="33"/>
        <v>15240.623831774614</v>
      </c>
      <c r="F55" s="172">
        <f t="shared" ca="1" si="33"/>
        <v>15542.673378098667</v>
      </c>
      <c r="G55" s="172">
        <f t="shared" ca="1" si="33"/>
        <v>15773.401256456602</v>
      </c>
      <c r="H55" s="172">
        <f t="shared" ca="1" si="33"/>
        <v>15982.005618822119</v>
      </c>
      <c r="I55" s="172">
        <f t="shared" ca="1" si="33"/>
        <v>16166.624366439926</v>
      </c>
      <c r="J55" s="172">
        <f t="shared" ca="1" si="33"/>
        <v>15352.584574280741</v>
      </c>
      <c r="K55" s="180">
        <f ca="1">RATE(8,,-B55,J55)</f>
        <v>1.3370216380651948E-2</v>
      </c>
      <c r="L55" s="2"/>
      <c r="M55" s="52" t="str">
        <f>A55</f>
        <v>Total LTD &amp; Deferrals</v>
      </c>
      <c r="N55" s="91">
        <f t="shared" si="32"/>
        <v>0.6164597660087523</v>
      </c>
      <c r="O55" s="93">
        <f t="shared" ca="1" si="32"/>
        <v>0.62057191277829926</v>
      </c>
      <c r="P55" s="17">
        <f t="shared" ca="1" si="32"/>
        <v>0.62314838819816365</v>
      </c>
      <c r="Q55" s="17">
        <f t="shared" ca="1" si="32"/>
        <v>0.63161006203704362</v>
      </c>
      <c r="R55" s="17">
        <f t="shared" ca="1" si="32"/>
        <v>0.63333701269447873</v>
      </c>
      <c r="S55" s="17">
        <f t="shared" ca="1" si="32"/>
        <v>0.63351450500635387</v>
      </c>
      <c r="T55" s="17">
        <f t="shared" ca="1" si="32"/>
        <v>0.63276832369361014</v>
      </c>
      <c r="U55" s="17">
        <f t="shared" ca="1" si="32"/>
        <v>0.63106950386076166</v>
      </c>
      <c r="V55" s="17">
        <f t="shared" ca="1" si="32"/>
        <v>0.61410338297122968</v>
      </c>
      <c r="W55" s="17">
        <f ca="1">SUM(C55:J55)/SUM($C$38:$J$38)</f>
        <v>0.62760918899554707</v>
      </c>
      <c r="X55" s="2"/>
    </row>
    <row r="56" spans="1:24" ht="12.75" customHeight="1" x14ac:dyDescent="0.2">
      <c r="B56" s="77"/>
      <c r="C56" s="2"/>
      <c r="D56" s="2"/>
      <c r="E56" s="2"/>
      <c r="F56" s="2"/>
      <c r="G56" s="2"/>
      <c r="H56" s="2"/>
      <c r="I56" s="2"/>
      <c r="J56" s="2"/>
      <c r="K56" s="18"/>
      <c r="L56" s="2"/>
      <c r="N56" s="90"/>
      <c r="O56" s="95"/>
      <c r="P56" s="18"/>
      <c r="Q56" s="18"/>
      <c r="R56" s="18"/>
      <c r="S56" s="18"/>
      <c r="T56" s="18"/>
      <c r="U56" s="18"/>
      <c r="V56" s="18"/>
      <c r="W56" s="18"/>
      <c r="X56" s="2"/>
    </row>
    <row r="57" spans="1:24" ht="12.75" customHeight="1" x14ac:dyDescent="0.2">
      <c r="A57" s="52" t="str">
        <f>Historical!A56</f>
        <v>Total Liabilities</v>
      </c>
      <c r="B57" s="77">
        <f t="shared" ref="B57:J57" si="34">B48+B55</f>
        <v>15004</v>
      </c>
      <c r="C57" s="2">
        <f t="shared" ca="1" si="34"/>
        <v>15407.789465235212</v>
      </c>
      <c r="D57" s="2">
        <f t="shared" ca="1" si="34"/>
        <v>15773.127286476974</v>
      </c>
      <c r="E57" s="2">
        <f t="shared" ca="1" si="34"/>
        <v>16472.41854612032</v>
      </c>
      <c r="F57" s="2">
        <f t="shared" ca="1" si="34"/>
        <v>16797.509751220485</v>
      </c>
      <c r="G57" s="2">
        <f t="shared" ca="1" si="34"/>
        <v>17047.681111624672</v>
      </c>
      <c r="H57" s="2">
        <f t="shared" ca="1" si="34"/>
        <v>17276.148472650901</v>
      </c>
      <c r="I57" s="2">
        <f t="shared" ca="1" si="34"/>
        <v>17481.052277776129</v>
      </c>
      <c r="J57" s="2">
        <f t="shared" ca="1" si="34"/>
        <v>16662.882774192523</v>
      </c>
      <c r="K57" s="5">
        <f ca="1">RATE(8,,-B57,J57)</f>
        <v>1.3194644245857689E-2</v>
      </c>
      <c r="L57" s="2"/>
      <c r="M57" s="52" t="str">
        <f>A57</f>
        <v>Total Liabilities</v>
      </c>
      <c r="N57" s="90">
        <f t="shared" ref="N57:V57" si="35">B57/B$38</f>
        <v>0.67000089309636512</v>
      </c>
      <c r="O57" s="95">
        <f t="shared" ca="1" si="35"/>
        <v>0.67268795598796649</v>
      </c>
      <c r="P57" s="18">
        <f t="shared" ca="1" si="35"/>
        <v>0.67487724516041425</v>
      </c>
      <c r="Q57" s="18">
        <f t="shared" ca="1" si="35"/>
        <v>0.68265875561628808</v>
      </c>
      <c r="R57" s="18">
        <f t="shared" ca="1" si="35"/>
        <v>0.68446942091282381</v>
      </c>
      <c r="S57" s="18">
        <f t="shared" ca="1" si="35"/>
        <v>0.68469400387036217</v>
      </c>
      <c r="T57" s="18">
        <f t="shared" ca="1" si="35"/>
        <v>0.68400673667932999</v>
      </c>
      <c r="U57" s="18">
        <f t="shared" ca="1" si="35"/>
        <v>0.68237863006212329</v>
      </c>
      <c r="V57" s="18">
        <f t="shared" ca="1" si="35"/>
        <v>0.66651531096770089</v>
      </c>
      <c r="W57" s="18">
        <f ca="1">SUM(C57:J57)/SUM($C$38:$J$38)</f>
        <v>0.67912385134112074</v>
      </c>
      <c r="X57" s="2"/>
    </row>
    <row r="58" spans="1:24" ht="12.75" customHeight="1" x14ac:dyDescent="0.2">
      <c r="B58" s="77"/>
      <c r="C58" s="2"/>
      <c r="D58" s="2"/>
      <c r="E58" s="2"/>
      <c r="F58" s="2"/>
      <c r="G58" s="2"/>
      <c r="H58" s="2"/>
      <c r="I58" s="2"/>
      <c r="J58" s="2"/>
      <c r="K58" s="5"/>
      <c r="L58" s="2"/>
      <c r="N58" s="90"/>
      <c r="O58" s="95"/>
      <c r="P58" s="18"/>
      <c r="Q58" s="18"/>
      <c r="R58" s="18"/>
      <c r="S58" s="18"/>
      <c r="T58" s="18"/>
      <c r="U58" s="18"/>
      <c r="V58" s="18"/>
      <c r="W58" s="18"/>
      <c r="X58" s="2"/>
    </row>
    <row r="59" spans="1:24" ht="12.75" customHeight="1" x14ac:dyDescent="0.2">
      <c r="A59" s="52" t="str">
        <f>Historical!A58</f>
        <v>Preferred Stock</v>
      </c>
      <c r="B59" s="77">
        <f>Historical!R58</f>
        <v>2</v>
      </c>
      <c r="C59" s="2">
        <f>Assumptions!$C$53</f>
        <v>2</v>
      </c>
      <c r="D59" s="2">
        <f>Assumptions!$C$53</f>
        <v>2</v>
      </c>
      <c r="E59" s="2">
        <f>Assumptions!$C$53</f>
        <v>2</v>
      </c>
      <c r="F59" s="2">
        <f>Assumptions!$C$53</f>
        <v>2</v>
      </c>
      <c r="G59" s="2">
        <f>Assumptions!$C$53</f>
        <v>2</v>
      </c>
      <c r="H59" s="2">
        <f>Assumptions!$C$53</f>
        <v>2</v>
      </c>
      <c r="I59" s="2">
        <f>Assumptions!$C$53</f>
        <v>2</v>
      </c>
      <c r="J59" s="2">
        <f>Assumptions!$C$53</f>
        <v>2</v>
      </c>
      <c r="K59" s="5">
        <f>RATE(8,,-B59,J59)</f>
        <v>3.1899074321543544E-12</v>
      </c>
      <c r="L59" s="2"/>
      <c r="M59" s="52" t="str">
        <f>A59</f>
        <v>Preferred Stock</v>
      </c>
      <c r="N59" s="90">
        <f t="shared" ref="N59:V59" si="36">B59/B$38</f>
        <v>8.9309636509779408E-5</v>
      </c>
      <c r="O59" s="95">
        <f t="shared" ca="1" si="36"/>
        <v>8.7317905985898991E-5</v>
      </c>
      <c r="P59" s="18">
        <f t="shared" ca="1" si="36"/>
        <v>8.5573042416137404E-5</v>
      </c>
      <c r="Q59" s="18">
        <f t="shared" ca="1" si="36"/>
        <v>8.2885066780563545E-5</v>
      </c>
      <c r="R59" s="18">
        <f t="shared" ca="1" si="36"/>
        <v>8.1496535028127156E-5</v>
      </c>
      <c r="S59" s="18">
        <f t="shared" ca="1" si="36"/>
        <v>8.0326937064006322E-5</v>
      </c>
      <c r="T59" s="18">
        <f t="shared" ca="1" si="36"/>
        <v>7.918509588663821E-5</v>
      </c>
      <c r="U59" s="18">
        <f t="shared" ca="1" si="36"/>
        <v>7.8070658358437539E-5</v>
      </c>
      <c r="V59" s="18">
        <f t="shared" si="36"/>
        <v>8.0000000000000007E-5</v>
      </c>
      <c r="W59" s="18">
        <f ca="1">SUM(C59:J59)/SUM($C$38:$J$38)</f>
        <v>8.1749136913067437E-5</v>
      </c>
      <c r="X59" s="2"/>
    </row>
    <row r="60" spans="1:24" ht="12.75" customHeight="1" x14ac:dyDescent="0.2">
      <c r="B60" s="77"/>
      <c r="C60" s="2"/>
      <c r="D60" s="2"/>
      <c r="E60" s="2"/>
      <c r="F60" s="2"/>
      <c r="G60" s="2"/>
      <c r="H60" s="2"/>
      <c r="I60" s="2"/>
      <c r="J60" s="2"/>
      <c r="K60" s="5"/>
      <c r="L60" s="2"/>
      <c r="N60" s="90"/>
      <c r="O60" s="95"/>
      <c r="P60" s="18"/>
      <c r="Q60" s="18"/>
      <c r="R60" s="18"/>
      <c r="S60" s="18"/>
      <c r="T60" s="18"/>
      <c r="U60" s="18"/>
      <c r="V60" s="18"/>
      <c r="W60" s="18"/>
      <c r="X60" s="2"/>
    </row>
    <row r="61" spans="1:24" ht="12.75" customHeight="1" x14ac:dyDescent="0.2">
      <c r="A61" s="172" t="str">
        <f>Historical!A60</f>
        <v>Common Equity:</v>
      </c>
      <c r="B61" s="77"/>
      <c r="C61" s="2"/>
      <c r="D61" s="2"/>
      <c r="E61" s="2"/>
      <c r="F61" s="2"/>
      <c r="G61" s="2"/>
      <c r="H61" s="2"/>
      <c r="I61" s="2"/>
      <c r="J61" s="2"/>
      <c r="K61" s="5"/>
      <c r="L61" s="2"/>
      <c r="M61" s="172" t="str">
        <f>A61</f>
        <v>Common Equity:</v>
      </c>
      <c r="N61" s="90"/>
      <c r="O61" s="95"/>
      <c r="P61" s="18"/>
      <c r="Q61" s="18"/>
      <c r="R61" s="18"/>
      <c r="S61" s="18"/>
      <c r="T61" s="18"/>
      <c r="U61" s="18"/>
      <c r="V61" s="18"/>
      <c r="W61" s="18"/>
      <c r="X61" s="2"/>
    </row>
    <row r="62" spans="1:24" ht="12.75" customHeight="1" x14ac:dyDescent="0.2">
      <c r="A62" s="52" t="str">
        <f>Historical!A61</f>
        <v>Common Stock</v>
      </c>
      <c r="B62" s="77">
        <f>Historical!R61</f>
        <v>4479</v>
      </c>
      <c r="C62" s="2">
        <f>B62</f>
        <v>4479</v>
      </c>
      <c r="D62" s="2">
        <f t="shared" ref="D62:J62" si="37">C62</f>
        <v>4479</v>
      </c>
      <c r="E62" s="2">
        <f t="shared" si="37"/>
        <v>4479</v>
      </c>
      <c r="F62" s="2">
        <f t="shared" si="37"/>
        <v>4479</v>
      </c>
      <c r="G62" s="2">
        <f t="shared" si="37"/>
        <v>4479</v>
      </c>
      <c r="H62" s="2">
        <f t="shared" si="37"/>
        <v>4479</v>
      </c>
      <c r="I62" s="2">
        <f t="shared" si="37"/>
        <v>4479</v>
      </c>
      <c r="J62" s="2">
        <f t="shared" si="37"/>
        <v>4479</v>
      </c>
      <c r="K62" s="5">
        <f>RATE(8,,-B62,J62)</f>
        <v>-9.5574488083283431E-17</v>
      </c>
      <c r="L62" s="2"/>
      <c r="M62" s="52" t="str">
        <f>A62</f>
        <v>Common Stock</v>
      </c>
      <c r="N62" s="90">
        <f t="shared" ref="N62:V65" si="38">B62/B$38</f>
        <v>0.20000893096365097</v>
      </c>
      <c r="O62" s="95">
        <f t="shared" ca="1" si="38"/>
        <v>0.19554845045542077</v>
      </c>
      <c r="P62" s="18">
        <f t="shared" ca="1" si="38"/>
        <v>0.19164082849093972</v>
      </c>
      <c r="Q62" s="18">
        <f t="shared" ca="1" si="38"/>
        <v>0.18562110705507207</v>
      </c>
      <c r="R62" s="18">
        <f t="shared" ca="1" si="38"/>
        <v>0.18251149019549076</v>
      </c>
      <c r="S62" s="18">
        <f t="shared" ca="1" si="38"/>
        <v>0.17989217555484216</v>
      </c>
      <c r="T62" s="18">
        <f t="shared" ca="1" si="38"/>
        <v>0.17733502223812628</v>
      </c>
      <c r="U62" s="18">
        <f t="shared" ca="1" si="38"/>
        <v>0.17483923939372087</v>
      </c>
      <c r="V62" s="18">
        <f t="shared" si="38"/>
        <v>0.17916000000000001</v>
      </c>
      <c r="W62" s="18">
        <f ca="1">SUM(C62:J62)/SUM($C$38:$J$38)</f>
        <v>0.1830771921168145</v>
      </c>
      <c r="X62" s="2"/>
    </row>
    <row r="63" spans="1:24" ht="12.75" customHeight="1" x14ac:dyDescent="0.2">
      <c r="A63" s="52" t="str">
        <f>Historical!A62</f>
        <v>Retained Earnings</v>
      </c>
      <c r="B63" s="77">
        <f>Historical!R62</f>
        <v>2909</v>
      </c>
      <c r="C63" s="3">
        <f t="shared" ref="C63:J63" ca="1" si="39">B63+(IF(C102&gt;C104,(C102-C104-C105),C102))</f>
        <v>3016.0057243605702</v>
      </c>
      <c r="D63" s="3">
        <f t="shared" ca="1" si="39"/>
        <v>3117.685966492299</v>
      </c>
      <c r="E63" s="3">
        <f t="shared" ca="1" si="39"/>
        <v>3176.3131680280585</v>
      </c>
      <c r="F63" s="3">
        <f t="shared" ca="1" si="39"/>
        <v>3262.3070443278666</v>
      </c>
      <c r="G63" s="3">
        <f t="shared" ca="1" si="39"/>
        <v>3369.4185636219327</v>
      </c>
      <c r="H63" s="3">
        <f t="shared" ca="1" si="39"/>
        <v>3499.9272670922828</v>
      </c>
      <c r="I63" s="3">
        <f t="shared" ca="1" si="39"/>
        <v>3655.4992520528635</v>
      </c>
      <c r="J63" s="3">
        <f t="shared" ca="1" si="39"/>
        <v>3855.7940618969715</v>
      </c>
      <c r="K63" s="5">
        <f ca="1">RATE(8,,-B63,J63)</f>
        <v>3.5848552782157928E-2</v>
      </c>
      <c r="L63" s="2"/>
      <c r="M63" s="52" t="str">
        <f>A63</f>
        <v>Retained Earnings</v>
      </c>
      <c r="N63" s="90">
        <f t="shared" si="38"/>
        <v>0.12990086630347414</v>
      </c>
      <c r="O63" s="95">
        <f t="shared" ca="1" si="38"/>
        <v>0.13167565214632471</v>
      </c>
      <c r="P63" s="18">
        <f t="shared" ca="1" si="38"/>
        <v>0.13339493672542091</v>
      </c>
      <c r="Q63" s="18">
        <f t="shared" ca="1" si="38"/>
        <v>0.13163446452399449</v>
      </c>
      <c r="R63" s="18">
        <f t="shared" ca="1" si="38"/>
        <v>0.13293336015528598</v>
      </c>
      <c r="S63" s="18">
        <f t="shared" ca="1" si="38"/>
        <v>0.13532753645117679</v>
      </c>
      <c r="T63" s="18">
        <f t="shared" ca="1" si="38"/>
        <v>0.13857103812048102</v>
      </c>
      <c r="U63" s="18">
        <f t="shared" ca="1" si="38"/>
        <v>0.14269361661827154</v>
      </c>
      <c r="V63" s="18">
        <f t="shared" ca="1" si="38"/>
        <v>0.15423176247587886</v>
      </c>
      <c r="W63" s="102">
        <f ca="1">SUM(C63:J63)/SUM($C$38:$J$38)</f>
        <v>0.13771128033898511</v>
      </c>
      <c r="X63" s="2"/>
    </row>
    <row r="64" spans="1:24" ht="12.75" customHeight="1" x14ac:dyDescent="0.2">
      <c r="A64" s="172" t="str">
        <f>Historical!A63</f>
        <v>Total Common Equity</v>
      </c>
      <c r="B64" s="239">
        <f>SUM(B62:B63)</f>
        <v>7388</v>
      </c>
      <c r="C64" s="175">
        <f ca="1">SUM(C61:C63)</f>
        <v>7495.0057243605697</v>
      </c>
      <c r="D64" s="175">
        <f t="shared" ref="D64:J64" ca="1" si="40">SUM(D61:D63)</f>
        <v>7596.6859664922995</v>
      </c>
      <c r="E64" s="175">
        <f t="shared" ca="1" si="40"/>
        <v>7655.3131680280585</v>
      </c>
      <c r="F64" s="175">
        <f t="shared" ca="1" si="40"/>
        <v>7741.3070443278666</v>
      </c>
      <c r="G64" s="175">
        <f t="shared" ca="1" si="40"/>
        <v>7848.4185636219327</v>
      </c>
      <c r="H64" s="175">
        <f t="shared" ca="1" si="40"/>
        <v>7978.9272670922828</v>
      </c>
      <c r="I64" s="175">
        <f t="shared" ca="1" si="40"/>
        <v>8134.4992520528631</v>
      </c>
      <c r="J64" s="175">
        <f t="shared" ca="1" si="40"/>
        <v>8334.7940618969715</v>
      </c>
      <c r="K64" s="180">
        <f ca="1">RATE(8,,-B64,J64)</f>
        <v>1.518688453653474E-2</v>
      </c>
      <c r="L64" s="2"/>
      <c r="M64" s="172" t="str">
        <f>A64</f>
        <v>Total Common Equity</v>
      </c>
      <c r="N64" s="242">
        <f t="shared" si="38"/>
        <v>0.3299097972671251</v>
      </c>
      <c r="O64" s="243">
        <f t="shared" ca="1" si="38"/>
        <v>0.3272241026017455</v>
      </c>
      <c r="P64" s="180">
        <f t="shared" ca="1" si="38"/>
        <v>0.32503576521636063</v>
      </c>
      <c r="Q64" s="180">
        <f t="shared" ca="1" si="38"/>
        <v>0.31725557157906659</v>
      </c>
      <c r="R64" s="180">
        <f t="shared" ca="1" si="38"/>
        <v>0.31544485035077674</v>
      </c>
      <c r="S64" s="180">
        <f t="shared" ca="1" si="38"/>
        <v>0.31521971200601895</v>
      </c>
      <c r="T64" s="180">
        <f t="shared" ca="1" si="38"/>
        <v>0.3159060603586073</v>
      </c>
      <c r="U64" s="180">
        <f t="shared" ca="1" si="38"/>
        <v>0.31753285601199238</v>
      </c>
      <c r="V64" s="180">
        <f t="shared" ca="1" si="38"/>
        <v>0.33339176247587887</v>
      </c>
      <c r="W64" s="180">
        <f ca="1">SUM(C64:J64)/SUM($C$38:$J$38)</f>
        <v>0.32078847245579961</v>
      </c>
      <c r="X64" s="2"/>
    </row>
    <row r="65" spans="1:24" ht="12.75" customHeight="1" thickBot="1" x14ac:dyDescent="0.25">
      <c r="A65" s="172" t="str">
        <f>Historical!A64</f>
        <v>Total Liabilities &amp; Equity</v>
      </c>
      <c r="B65" s="237">
        <f t="shared" ref="B65:J65" si="41">B57+B59+B64</f>
        <v>22394</v>
      </c>
      <c r="C65" s="274">
        <f t="shared" ca="1" si="41"/>
        <v>22904.795189595781</v>
      </c>
      <c r="D65" s="275">
        <f t="shared" ca="1" si="41"/>
        <v>23371.813252969274</v>
      </c>
      <c r="E65" s="275">
        <f t="shared" ca="1" si="41"/>
        <v>24129.73171414838</v>
      </c>
      <c r="F65" s="275">
        <f t="shared" ca="1" si="41"/>
        <v>24540.816795548351</v>
      </c>
      <c r="G65" s="275">
        <f t="shared" ca="1" si="41"/>
        <v>24898.099675246605</v>
      </c>
      <c r="H65" s="275">
        <f t="shared" ca="1" si="41"/>
        <v>25257.075739743184</v>
      </c>
      <c r="I65" s="275">
        <f t="shared" ca="1" si="41"/>
        <v>25617.55152982899</v>
      </c>
      <c r="J65" s="275">
        <f t="shared" ca="1" si="41"/>
        <v>24999.676836089493</v>
      </c>
      <c r="K65" s="180">
        <f ca="1">RATE(8,,-B65,J65)</f>
        <v>1.385381595266025E-2</v>
      </c>
      <c r="L65" s="2"/>
      <c r="M65" s="172" t="str">
        <f>A65</f>
        <v>Total Liabilities &amp; Equity</v>
      </c>
      <c r="N65" s="242">
        <f t="shared" si="38"/>
        <v>1</v>
      </c>
      <c r="O65" s="243">
        <f t="shared" ca="1" si="38"/>
        <v>0.99999937649569792</v>
      </c>
      <c r="P65" s="180">
        <f t="shared" ca="1" si="38"/>
        <v>0.99999858341919101</v>
      </c>
      <c r="Q65" s="180">
        <f t="shared" ca="1" si="38"/>
        <v>0.99999721226213534</v>
      </c>
      <c r="R65" s="180">
        <f t="shared" ca="1" si="38"/>
        <v>0.99999576779862875</v>
      </c>
      <c r="S65" s="180">
        <f t="shared" ca="1" si="38"/>
        <v>0.99999404281344517</v>
      </c>
      <c r="T65" s="180">
        <f t="shared" ca="1" si="38"/>
        <v>0.9999919821338239</v>
      </c>
      <c r="U65" s="180">
        <f t="shared" ca="1" si="38"/>
        <v>0.99998955673247403</v>
      </c>
      <c r="V65" s="180">
        <f t="shared" ca="1" si="38"/>
        <v>0.99998707344357973</v>
      </c>
      <c r="W65" s="180">
        <f ca="1">SUM(C65:J65)/SUM($C$38:$J$38)</f>
        <v>0.99999407293383336</v>
      </c>
      <c r="X65" s="2"/>
    </row>
    <row r="66" spans="1:24" ht="12.75" customHeight="1" thickTop="1" x14ac:dyDescent="0.2">
      <c r="B66" s="86"/>
      <c r="C66" s="2"/>
      <c r="D66" s="2"/>
      <c r="E66" s="2"/>
      <c r="F66" s="2"/>
      <c r="G66" s="2"/>
      <c r="H66" s="2"/>
      <c r="I66" s="2"/>
      <c r="J66" s="2"/>
      <c r="K66" s="71"/>
      <c r="L66" s="2"/>
      <c r="N66" s="71"/>
      <c r="O66" s="126"/>
      <c r="P66" s="126"/>
      <c r="Q66" s="126"/>
      <c r="R66" s="126"/>
      <c r="S66" s="126"/>
      <c r="T66" s="126"/>
      <c r="U66" s="126"/>
      <c r="V66" s="126"/>
      <c r="W66" s="71"/>
      <c r="X66" s="2"/>
    </row>
    <row r="67" spans="1:24" ht="12.75" customHeight="1" x14ac:dyDescent="0.2">
      <c r="B67" s="77"/>
      <c r="C67" s="2">
        <f t="shared" ref="C67:J67" ca="1" si="42">IF(C38&lt;C65,(((C65-C38)*0.1)+C13),0)</f>
        <v>0</v>
      </c>
      <c r="D67" s="2">
        <f t="shared" ca="1" si="42"/>
        <v>0</v>
      </c>
      <c r="E67" s="2">
        <f t="shared" ca="1" si="42"/>
        <v>0</v>
      </c>
      <c r="F67" s="2">
        <f t="shared" ca="1" si="42"/>
        <v>0</v>
      </c>
      <c r="G67" s="2">
        <f t="shared" ca="1" si="42"/>
        <v>0</v>
      </c>
      <c r="H67" s="2">
        <f t="shared" ca="1" si="42"/>
        <v>0</v>
      </c>
      <c r="I67" s="2">
        <f t="shared" ca="1" si="42"/>
        <v>0</v>
      </c>
      <c r="J67" s="2">
        <f t="shared" ca="1" si="42"/>
        <v>0</v>
      </c>
      <c r="K67" s="5"/>
      <c r="L67" s="2"/>
    </row>
    <row r="68" spans="1:24" ht="12.75" customHeight="1" x14ac:dyDescent="0.2">
      <c r="A68" s="110"/>
      <c r="B68" s="77"/>
      <c r="C68" s="2">
        <f t="shared" ref="C68:J68" ca="1" si="43">IF(C38&gt;C65,(((C38-C65)*0.1)+C54),0)</f>
        <v>349.13353912013798</v>
      </c>
      <c r="D68" s="2">
        <f t="shared" ca="1" si="43"/>
        <v>694.05669876228319</v>
      </c>
      <c r="E68" s="2">
        <f t="shared" ca="1" si="43"/>
        <v>1266.5920581048961</v>
      </c>
      <c r="F68" s="2">
        <f t="shared" ca="1" si="43"/>
        <v>1581.072930803602</v>
      </c>
      <c r="G68" s="2">
        <f t="shared" ca="1" si="43"/>
        <v>1838.9306391666039</v>
      </c>
      <c r="H68" s="2">
        <f t="shared" ca="1" si="43"/>
        <v>2072.0561274815768</v>
      </c>
      <c r="I68" s="2">
        <f t="shared" ca="1" si="43"/>
        <v>2278.7104994944762</v>
      </c>
      <c r="J68" s="2">
        <f t="shared" ca="1" si="43"/>
        <v>1566.9308120696896</v>
      </c>
      <c r="K68" s="5"/>
      <c r="L68" s="2"/>
    </row>
    <row r="69" spans="1:24" ht="12.75" customHeight="1" x14ac:dyDescent="0.2">
      <c r="A69" s="110"/>
      <c r="B69" s="19"/>
      <c r="C69" s="2"/>
      <c r="D69" s="2"/>
      <c r="E69" s="2"/>
      <c r="F69" s="2"/>
      <c r="G69" s="2"/>
      <c r="H69" s="2"/>
      <c r="I69" s="2"/>
      <c r="J69" s="2"/>
      <c r="K69" s="5"/>
      <c r="L69" s="2"/>
    </row>
    <row r="70" spans="1:24" ht="12.75" customHeight="1" x14ac:dyDescent="0.2">
      <c r="A70" s="110"/>
      <c r="B70" s="19"/>
      <c r="C70" s="2"/>
      <c r="D70" s="2"/>
      <c r="E70" s="2"/>
      <c r="F70" s="2"/>
      <c r="G70" s="2"/>
      <c r="H70" s="2"/>
      <c r="I70" s="2"/>
      <c r="J70" s="2"/>
      <c r="K70" s="250" t="s">
        <v>200</v>
      </c>
      <c r="L70" s="2"/>
      <c r="W70" s="250" t="s">
        <v>200</v>
      </c>
    </row>
    <row r="71" spans="1:24" ht="12.75" customHeight="1" x14ac:dyDescent="0.2">
      <c r="A71" s="110"/>
      <c r="B71" s="19"/>
      <c r="C71" s="2"/>
      <c r="D71" s="2"/>
      <c r="E71" s="2"/>
      <c r="F71" s="2"/>
      <c r="G71" s="2"/>
      <c r="H71" s="2"/>
      <c r="I71" s="2"/>
      <c r="J71" s="2"/>
      <c r="K71" s="251" t="s">
        <v>195</v>
      </c>
      <c r="L71" s="2"/>
      <c r="N71"/>
      <c r="O71"/>
      <c r="P71"/>
      <c r="Q71"/>
      <c r="R71"/>
      <c r="S71"/>
      <c r="T71"/>
      <c r="U71"/>
      <c r="V71"/>
      <c r="W71" s="251" t="s">
        <v>198</v>
      </c>
      <c r="X71"/>
    </row>
    <row r="72" spans="1:24" ht="12.75" customHeight="1" x14ac:dyDescent="0.25">
      <c r="A72" s="104" t="str">
        <f>A4</f>
        <v>PacifiCorp</v>
      </c>
      <c r="B72" s="106"/>
      <c r="C72" s="10"/>
      <c r="D72" s="10"/>
      <c r="E72" s="12"/>
      <c r="F72" s="12"/>
      <c r="G72" s="12"/>
      <c r="H72" s="12"/>
      <c r="I72" s="12"/>
      <c r="J72" s="12"/>
      <c r="K72" s="13"/>
      <c r="L72" s="2"/>
      <c r="M72" s="104" t="str">
        <f>A72</f>
        <v>PacifiCorp</v>
      </c>
      <c r="N72" s="108"/>
      <c r="O72" s="12"/>
      <c r="P72" s="12"/>
      <c r="Q72" s="12"/>
      <c r="R72" s="12"/>
      <c r="S72" s="12"/>
      <c r="T72" s="12"/>
      <c r="U72" s="12"/>
      <c r="V72" s="12"/>
      <c r="W72" s="13"/>
      <c r="X72" s="2"/>
    </row>
    <row r="73" spans="1:24" ht="12.75" customHeight="1" x14ac:dyDescent="0.2">
      <c r="A73" s="106" t="s">
        <v>144</v>
      </c>
      <c r="B73" s="106"/>
      <c r="C73" s="10"/>
      <c r="D73" s="10"/>
      <c r="E73" s="12"/>
      <c r="F73" s="12"/>
      <c r="G73" s="12"/>
      <c r="H73" s="12"/>
      <c r="I73" s="12"/>
      <c r="J73" s="12"/>
      <c r="K73" s="13"/>
      <c r="L73" s="2"/>
      <c r="M73" s="106" t="s">
        <v>182</v>
      </c>
      <c r="N73" s="108"/>
      <c r="O73" s="10"/>
      <c r="P73" s="12"/>
      <c r="Q73" s="12"/>
      <c r="R73" s="12"/>
      <c r="S73" s="12"/>
      <c r="T73" s="12"/>
      <c r="U73" s="12"/>
      <c r="V73" s="12"/>
      <c r="W73" s="13"/>
      <c r="X73" s="2"/>
    </row>
    <row r="74" spans="1:24" ht="12.75" customHeight="1" x14ac:dyDescent="0.2">
      <c r="A74" s="130">
        <f ca="1">A6</f>
        <v>42885.407735185188</v>
      </c>
      <c r="B74" s="106"/>
      <c r="C74" s="12"/>
      <c r="D74" s="12"/>
      <c r="E74" s="12"/>
      <c r="F74" s="12"/>
      <c r="G74" s="12"/>
      <c r="H74" s="12"/>
      <c r="I74" s="12"/>
      <c r="J74" s="12"/>
      <c r="K74" s="13"/>
      <c r="L74" s="2"/>
      <c r="M74" s="106"/>
      <c r="N74" s="108"/>
      <c r="O74" s="10"/>
      <c r="P74" s="12"/>
      <c r="Q74" s="12"/>
      <c r="R74" s="12"/>
      <c r="S74" s="12"/>
      <c r="T74" s="12"/>
      <c r="U74" s="12"/>
      <c r="V74" s="12"/>
      <c r="W74" s="13"/>
      <c r="X74" s="2"/>
    </row>
    <row r="75" spans="1:24" ht="12.75" customHeight="1" x14ac:dyDescent="0.2">
      <c r="A75" s="103"/>
      <c r="B75" s="103"/>
      <c r="C75" s="2"/>
      <c r="D75" s="2"/>
      <c r="E75" s="2"/>
      <c r="F75" s="2"/>
      <c r="G75" s="2"/>
      <c r="H75" s="2"/>
      <c r="I75" s="2"/>
      <c r="J75" s="2"/>
      <c r="K75" s="5"/>
      <c r="L75" s="2"/>
      <c r="M75" s="103"/>
      <c r="N75" s="107"/>
      <c r="O75" s="2"/>
      <c r="P75" s="2"/>
      <c r="Q75" s="2"/>
      <c r="R75" s="2"/>
      <c r="S75" s="2"/>
      <c r="T75" s="2"/>
      <c r="U75" s="2"/>
      <c r="V75" s="2"/>
      <c r="W75" s="5"/>
      <c r="X75" s="2"/>
    </row>
    <row r="76" spans="1:24" ht="12.75" customHeight="1" x14ac:dyDescent="0.2">
      <c r="B76" s="74" t="s">
        <v>122</v>
      </c>
      <c r="C76" s="14" t="s">
        <v>123</v>
      </c>
      <c r="D76" s="14" t="s">
        <v>123</v>
      </c>
      <c r="E76" s="14" t="s">
        <v>123</v>
      </c>
      <c r="F76" s="14" t="s">
        <v>123</v>
      </c>
      <c r="G76" s="14" t="s">
        <v>123</v>
      </c>
      <c r="H76" s="14" t="s">
        <v>123</v>
      </c>
      <c r="I76" s="14" t="s">
        <v>123</v>
      </c>
      <c r="J76" s="14" t="s">
        <v>123</v>
      </c>
      <c r="K76" s="15" t="s">
        <v>4</v>
      </c>
      <c r="L76" s="2"/>
      <c r="N76" s="74" t="str">
        <f>B8</f>
        <v>Historical</v>
      </c>
      <c r="O76" s="14" t="s">
        <v>123</v>
      </c>
      <c r="P76" s="14" t="s">
        <v>123</v>
      </c>
      <c r="Q76" s="14" t="s">
        <v>123</v>
      </c>
      <c r="R76" s="14" t="s">
        <v>123</v>
      </c>
      <c r="S76" s="14" t="s">
        <v>123</v>
      </c>
      <c r="T76" s="14" t="s">
        <v>123</v>
      </c>
      <c r="U76" s="14" t="s">
        <v>123</v>
      </c>
      <c r="V76" s="14" t="s">
        <v>123</v>
      </c>
      <c r="W76" s="15"/>
      <c r="X76" s="2"/>
    </row>
    <row r="77" spans="1:24" ht="12.75" customHeight="1" x14ac:dyDescent="0.2">
      <c r="B77" s="88">
        <f>B9</f>
        <v>2016</v>
      </c>
      <c r="C77" s="4">
        <f>C9</f>
        <v>2017</v>
      </c>
      <c r="D77" s="4">
        <f t="shared" ref="D77:J77" si="44">D9</f>
        <v>2018</v>
      </c>
      <c r="E77" s="4">
        <f t="shared" si="44"/>
        <v>2019</v>
      </c>
      <c r="F77" s="4">
        <f t="shared" si="44"/>
        <v>2020</v>
      </c>
      <c r="G77" s="4">
        <f t="shared" si="44"/>
        <v>2021</v>
      </c>
      <c r="H77" s="4">
        <f t="shared" si="44"/>
        <v>2022</v>
      </c>
      <c r="I77" s="4">
        <f t="shared" si="44"/>
        <v>2023</v>
      </c>
      <c r="J77" s="4">
        <f t="shared" si="44"/>
        <v>2024</v>
      </c>
      <c r="K77" s="16" t="s">
        <v>23</v>
      </c>
      <c r="L77" s="2"/>
      <c r="N77" s="98">
        <f>B9</f>
        <v>2016</v>
      </c>
      <c r="O77" s="4">
        <f t="shared" ref="O77:V77" si="45">C9</f>
        <v>2017</v>
      </c>
      <c r="P77" s="4">
        <f t="shared" si="45"/>
        <v>2018</v>
      </c>
      <c r="Q77" s="4">
        <f t="shared" si="45"/>
        <v>2019</v>
      </c>
      <c r="R77" s="4">
        <f t="shared" si="45"/>
        <v>2020</v>
      </c>
      <c r="S77" s="4">
        <f t="shared" si="45"/>
        <v>2021</v>
      </c>
      <c r="T77" s="4">
        <f t="shared" si="45"/>
        <v>2022</v>
      </c>
      <c r="U77" s="4">
        <f t="shared" si="45"/>
        <v>2023</v>
      </c>
      <c r="V77" s="4">
        <f t="shared" si="45"/>
        <v>2024</v>
      </c>
      <c r="W77" s="16" t="s">
        <v>3</v>
      </c>
      <c r="X77" s="2"/>
    </row>
    <row r="78" spans="1:24" ht="12.75" customHeight="1" x14ac:dyDescent="0.2">
      <c r="A78" s="172" t="str">
        <f>Historical!A76</f>
        <v>Operating Sales and Revenues:</v>
      </c>
      <c r="B78" s="85"/>
      <c r="C78" s="2"/>
      <c r="D78" s="2"/>
      <c r="E78" s="2"/>
      <c r="F78" s="2"/>
      <c r="G78" s="2"/>
      <c r="H78" s="2"/>
      <c r="I78" s="2"/>
      <c r="J78" s="2"/>
      <c r="K78" s="5"/>
      <c r="L78" s="2"/>
      <c r="M78" s="52" t="str">
        <f>A78</f>
        <v>Operating Sales and Revenues:</v>
      </c>
      <c r="N78" s="91"/>
      <c r="O78" s="5"/>
      <c r="P78" s="5"/>
      <c r="Q78" s="5"/>
      <c r="R78" s="5"/>
      <c r="S78" s="5"/>
      <c r="T78" s="5"/>
      <c r="U78" s="5"/>
      <c r="V78" s="5"/>
      <c r="W78" s="5"/>
      <c r="X78" s="2"/>
    </row>
    <row r="79" spans="1:24" ht="12.75" customHeight="1" x14ac:dyDescent="0.2">
      <c r="A79" s="52" t="str">
        <f>Historical!A77</f>
        <v>Revenues</v>
      </c>
      <c r="B79" s="77">
        <f>Historical!R77</f>
        <v>5201</v>
      </c>
      <c r="C79" s="2">
        <v>5294</v>
      </c>
      <c r="D79" s="2">
        <f>(1+Assumptions!$C$61/2)*Forecast!C79</f>
        <v>5361.4665981618864</v>
      </c>
      <c r="E79" s="2">
        <f>(1+Assumptions!$C$61/2)*Forecast!D79</f>
        <v>5429.7929888941426</v>
      </c>
      <c r="F79" s="2">
        <f>(1+Assumptions!$C$61)*Forecast!E79+(0.04*740)</f>
        <v>5597.7872698476567</v>
      </c>
      <c r="G79" s="2">
        <f>(1+Assumptions!$C$61)*Forecast!F79</f>
        <v>5740.4633802860917</v>
      </c>
      <c r="H79" s="2">
        <f>(1+Assumptions!$C$61)*Forecast!G79</f>
        <v>5886.7760119977611</v>
      </c>
      <c r="I79" s="2">
        <f>(1+Assumptions!$C$61)*Forecast!H79</f>
        <v>6036.8178524475106</v>
      </c>
      <c r="J79" s="2">
        <f>(1+Assumptions!$C$61)*Forecast!I79</f>
        <v>6190.6839515134652</v>
      </c>
      <c r="K79" s="5">
        <f>RATE(8,,-B79,J79)</f>
        <v>2.2013123142256404E-2</v>
      </c>
      <c r="L79" s="2"/>
      <c r="M79" s="52" t="str">
        <f t="shared" ref="M79:M105" si="46">A79</f>
        <v>Revenues</v>
      </c>
      <c r="N79" s="90">
        <f t="shared" ref="N79:V80" si="47">B79/B$80</f>
        <v>1</v>
      </c>
      <c r="O79" s="95">
        <f t="shared" si="47"/>
        <v>1</v>
      </c>
      <c r="P79" s="18">
        <f t="shared" si="47"/>
        <v>1</v>
      </c>
      <c r="Q79" s="18">
        <f t="shared" si="47"/>
        <v>1</v>
      </c>
      <c r="R79" s="18">
        <f t="shared" si="47"/>
        <v>1</v>
      </c>
      <c r="S79" s="18">
        <f t="shared" si="47"/>
        <v>1</v>
      </c>
      <c r="T79" s="18">
        <f t="shared" si="47"/>
        <v>1</v>
      </c>
      <c r="U79" s="18">
        <f t="shared" si="47"/>
        <v>1</v>
      </c>
      <c r="V79" s="18">
        <f t="shared" si="47"/>
        <v>1</v>
      </c>
      <c r="W79" s="18">
        <f>SUM(C79:J79)/SUM(C$80:J$80)</f>
        <v>1</v>
      </c>
      <c r="X79" s="2"/>
    </row>
    <row r="80" spans="1:24" ht="12.75" customHeight="1" x14ac:dyDescent="0.2">
      <c r="A80" s="172" t="str">
        <f>Historical!A78</f>
        <v>Total Revenues</v>
      </c>
      <c r="B80" s="237">
        <f>B79</f>
        <v>5201</v>
      </c>
      <c r="C80" s="195">
        <f t="shared" ref="C80:J80" si="48">SUM(C78:C79)</f>
        <v>5294</v>
      </c>
      <c r="D80" s="195">
        <f t="shared" si="48"/>
        <v>5361.4665981618864</v>
      </c>
      <c r="E80" s="195">
        <f t="shared" si="48"/>
        <v>5429.7929888941426</v>
      </c>
      <c r="F80" s="195">
        <f t="shared" si="48"/>
        <v>5597.7872698476567</v>
      </c>
      <c r="G80" s="195">
        <f t="shared" si="48"/>
        <v>5740.4633802860917</v>
      </c>
      <c r="H80" s="195">
        <f t="shared" si="48"/>
        <v>5886.7760119977611</v>
      </c>
      <c r="I80" s="195">
        <f t="shared" si="48"/>
        <v>6036.8178524475106</v>
      </c>
      <c r="J80" s="195">
        <f t="shared" si="48"/>
        <v>6190.6839515134652</v>
      </c>
      <c r="K80" s="180">
        <f>RATE(8,,-B80,J80)</f>
        <v>2.2013123142256404E-2</v>
      </c>
      <c r="L80" s="172"/>
      <c r="M80" s="52" t="str">
        <f t="shared" si="46"/>
        <v>Total Revenues</v>
      </c>
      <c r="N80" s="91">
        <f t="shared" si="47"/>
        <v>1</v>
      </c>
      <c r="O80" s="93">
        <f t="shared" si="47"/>
        <v>1</v>
      </c>
      <c r="P80" s="17">
        <f t="shared" si="47"/>
        <v>1</v>
      </c>
      <c r="Q80" s="17">
        <f t="shared" si="47"/>
        <v>1</v>
      </c>
      <c r="R80" s="17">
        <f t="shared" si="47"/>
        <v>1</v>
      </c>
      <c r="S80" s="17">
        <f t="shared" si="47"/>
        <v>1</v>
      </c>
      <c r="T80" s="17">
        <f t="shared" si="47"/>
        <v>1</v>
      </c>
      <c r="U80" s="17">
        <f t="shared" si="47"/>
        <v>1</v>
      </c>
      <c r="V80" s="17">
        <f t="shared" si="47"/>
        <v>1</v>
      </c>
      <c r="W80" s="17">
        <f>SUM(C80:J80)/SUM(C$80:J$80)</f>
        <v>1</v>
      </c>
      <c r="X80" s="2"/>
    </row>
    <row r="81" spans="1:24" ht="12.75" customHeight="1" x14ac:dyDescent="0.2">
      <c r="B81" s="77"/>
      <c r="C81" s="2"/>
      <c r="D81" s="2"/>
      <c r="E81" s="2"/>
      <c r="F81" s="2"/>
      <c r="G81" s="2"/>
      <c r="H81" s="2"/>
      <c r="I81" s="2"/>
      <c r="J81" s="2"/>
      <c r="K81" s="5"/>
      <c r="L81" s="2"/>
      <c r="N81" s="90"/>
      <c r="O81" s="5"/>
      <c r="P81" s="5"/>
      <c r="Q81" s="5"/>
      <c r="R81" s="5"/>
      <c r="S81" s="5"/>
      <c r="T81" s="5"/>
      <c r="U81" s="5"/>
      <c r="V81" s="5"/>
      <c r="W81" s="5"/>
      <c r="X81" s="2"/>
    </row>
    <row r="82" spans="1:24" ht="12.75" customHeight="1" x14ac:dyDescent="0.2">
      <c r="A82" s="52" t="str">
        <f>Historical!A80</f>
        <v>Operating Expenses:</v>
      </c>
      <c r="B82" s="77"/>
      <c r="C82" s="278"/>
      <c r="D82" s="2"/>
      <c r="E82" s="2"/>
      <c r="F82" s="2"/>
      <c r="G82" s="2"/>
      <c r="H82" s="2"/>
      <c r="I82" s="2"/>
      <c r="J82" s="2"/>
      <c r="K82" s="5"/>
      <c r="L82" s="2"/>
      <c r="M82" s="52" t="str">
        <f t="shared" si="46"/>
        <v>Operating Expenses:</v>
      </c>
      <c r="N82" s="90"/>
      <c r="O82" s="95"/>
      <c r="P82" s="18"/>
      <c r="Q82" s="18"/>
      <c r="R82" s="18"/>
      <c r="S82" s="18"/>
      <c r="T82" s="18"/>
      <c r="U82" s="18"/>
      <c r="V82" s="18"/>
      <c r="W82" s="5"/>
      <c r="X82" s="2"/>
    </row>
    <row r="83" spans="1:24" ht="12.75" customHeight="1" x14ac:dyDescent="0.2">
      <c r="A83" s="52" t="str">
        <f>Historical!A81</f>
        <v>Energy Costs</v>
      </c>
      <c r="B83" s="77">
        <f>Historical!R81</f>
        <v>1751</v>
      </c>
      <c r="C83" s="2">
        <v>1805</v>
      </c>
      <c r="D83" s="2">
        <f>(1+Assumptions!$C$65)*Forecast!C83</f>
        <v>1850.1249999999998</v>
      </c>
      <c r="E83" s="2">
        <f>(1+Assumptions!$C$4)*Forecast!D83</f>
        <v>1896.3781249999995</v>
      </c>
      <c r="F83" s="2">
        <f>(1+Assumptions!$C$4)*Forecast!E83</f>
        <v>1943.7875781249993</v>
      </c>
      <c r="G83" s="2">
        <f>(1+Assumptions!$C$4)*Forecast!F83</f>
        <v>1992.3822675781241</v>
      </c>
      <c r="H83" s="2">
        <f>(1+Assumptions!$C$4)*Forecast!G83</f>
        <v>2042.191824267577</v>
      </c>
      <c r="I83" s="2">
        <f>(1+Assumptions!$C$4)*Forecast!H83</f>
        <v>2093.2466198742663</v>
      </c>
      <c r="J83" s="2">
        <f>(1+Assumptions!$C$4)*Forecast!I83</f>
        <v>2145.5777853711229</v>
      </c>
      <c r="K83" s="5">
        <f>RATE(8,,-B83,J83)</f>
        <v>2.5728127126430852E-2</v>
      </c>
      <c r="L83" s="2"/>
      <c r="M83" s="52" t="str">
        <f t="shared" si="46"/>
        <v>Energy Costs</v>
      </c>
      <c r="N83" s="90">
        <f t="shared" ref="N83:V89" si="49">B83/B$80</f>
        <v>0.33666602576427612</v>
      </c>
      <c r="O83" s="95">
        <f t="shared" si="49"/>
        <v>0.34095202115602569</v>
      </c>
      <c r="P83" s="18">
        <f t="shared" si="49"/>
        <v>0.34507815466654079</v>
      </c>
      <c r="Q83" s="18">
        <f t="shared" si="49"/>
        <v>0.34925422182369881</v>
      </c>
      <c r="R83" s="18">
        <f t="shared" si="49"/>
        <v>0.34724213058169667</v>
      </c>
      <c r="S83" s="18">
        <f t="shared" si="49"/>
        <v>0.3470769057460355</v>
      </c>
      <c r="T83" s="18">
        <f t="shared" si="49"/>
        <v>0.3469117595276961</v>
      </c>
      <c r="U83" s="18">
        <f t="shared" si="49"/>
        <v>0.34674669188927076</v>
      </c>
      <c r="V83" s="18">
        <f t="shared" si="49"/>
        <v>0.34658170279336964</v>
      </c>
      <c r="W83" s="18">
        <f t="shared" ref="W83:W89" si="50">SUM(C83:J83)/SUM(C$80:J$80)</f>
        <v>0.34627701244100789</v>
      </c>
      <c r="X83" s="2"/>
    </row>
    <row r="84" spans="1:24" ht="12.75" customHeight="1" x14ac:dyDescent="0.2">
      <c r="A84" s="52" t="str">
        <f>Historical!A82</f>
        <v>Other operations and maintenance</v>
      </c>
      <c r="B84" s="77">
        <f>Historical!R82</f>
        <v>1064</v>
      </c>
      <c r="C84" s="2">
        <v>1038</v>
      </c>
      <c r="D84" s="2">
        <f>C84*(1+Assumptions!$C$66)</f>
        <v>1047.2517903601808</v>
      </c>
      <c r="E84" s="2">
        <f>D84*(1+Assumptions!$C$66+Assumptions!$E$66)</f>
        <v>1062.2017235642013</v>
      </c>
      <c r="F84" s="2">
        <f>E84*(1+Assumptions!$C$66+Assumptions!$E$66*2)</f>
        <v>1083.0609198132768</v>
      </c>
      <c r="G84" s="2">
        <f>F84*(1+Assumptions!$C$66+Assumptions!$E$66*3)</f>
        <v>1110.1374428086085</v>
      </c>
      <c r="H84" s="2">
        <f>G84*(1+Assumptions!$C$4)</f>
        <v>1137.8908788788235</v>
      </c>
      <c r="I84" s="2">
        <f>H84*(1+Assumptions!$C$4)</f>
        <v>1166.3381508507939</v>
      </c>
      <c r="J84" s="2">
        <f>I84*(1+Assumptions!$C$4)</f>
        <v>1195.4966046220636</v>
      </c>
      <c r="K84" s="5">
        <f>RATE(8,,-B84,J84)</f>
        <v>1.467238258055078E-2</v>
      </c>
      <c r="L84" s="2"/>
      <c r="M84" s="52" t="str">
        <f t="shared" si="46"/>
        <v>Other operations and maintenance</v>
      </c>
      <c r="N84" s="90">
        <f t="shared" si="49"/>
        <v>0.20457604306864063</v>
      </c>
      <c r="O84" s="95">
        <f t="shared" si="49"/>
        <v>0.1960710238005289</v>
      </c>
      <c r="P84" s="18">
        <f t="shared" si="49"/>
        <v>0.19532935087560155</v>
      </c>
      <c r="Q84" s="18">
        <f t="shared" si="49"/>
        <v>0.19562471824188907</v>
      </c>
      <c r="R84" s="18">
        <f t="shared" si="49"/>
        <v>0.19348018558103444</v>
      </c>
      <c r="S84" s="18">
        <f t="shared" si="49"/>
        <v>0.1933881237917211</v>
      </c>
      <c r="T84" s="18">
        <f t="shared" si="49"/>
        <v>0.19329610580727091</v>
      </c>
      <c r="U84" s="18">
        <f t="shared" si="49"/>
        <v>0.19320413160684063</v>
      </c>
      <c r="V84" s="18">
        <f t="shared" si="49"/>
        <v>0.19311220116959693</v>
      </c>
      <c r="W84" s="18">
        <f t="shared" si="50"/>
        <v>0.19413278265909797</v>
      </c>
      <c r="X84" s="2"/>
    </row>
    <row r="85" spans="1:24" ht="12.75" customHeight="1" x14ac:dyDescent="0.2">
      <c r="A85" s="52" t="str">
        <f>Historical!A83</f>
        <v>Depreciation and amortization</v>
      </c>
      <c r="B85" s="77">
        <f>Historical!R83</f>
        <v>770</v>
      </c>
      <c r="C85" s="2">
        <v>788</v>
      </c>
      <c r="D85" s="2">
        <f>Assumptions!$C$67*Forecast!D20</f>
        <v>799.74486345601713</v>
      </c>
      <c r="E85" s="2">
        <f>Assumptions!$C$67*Forecast!E20</f>
        <v>837.94511480500046</v>
      </c>
      <c r="F85" s="2">
        <f>Assumptions!$C$67*Forecast!F20</f>
        <v>856.09899103882208</v>
      </c>
      <c r="G85" s="2">
        <f>Assumptions!$C$67*Forecast!G20</f>
        <v>874.64616656694113</v>
      </c>
      <c r="H85" s="2">
        <f>Assumptions!$C$67*Forecast!H20</f>
        <v>893.59516212250048</v>
      </c>
      <c r="I85" s="2">
        <f>Assumptions!$C$67*Forecast!I20</f>
        <v>912.95468303824532</v>
      </c>
      <c r="J85" s="2">
        <f>Assumptions!$C$67*Forecast!J20</f>
        <v>932.73362324582797</v>
      </c>
      <c r="K85" s="5">
        <f>RATE(8,,-B85,J85)</f>
        <v>2.4255638517532391E-2</v>
      </c>
      <c r="L85" s="2"/>
      <c r="M85" s="52" t="str">
        <f t="shared" si="46"/>
        <v>Depreciation and amortization</v>
      </c>
      <c r="N85" s="90">
        <f t="shared" si="49"/>
        <v>0.1480484522207268</v>
      </c>
      <c r="O85" s="95">
        <f t="shared" si="49"/>
        <v>0.1488477521722705</v>
      </c>
      <c r="P85" s="18">
        <f t="shared" si="49"/>
        <v>0.14916531676802761</v>
      </c>
      <c r="Q85" s="18">
        <f t="shared" si="49"/>
        <v>0.15432358407012867</v>
      </c>
      <c r="R85" s="18">
        <f t="shared" si="49"/>
        <v>0.15293524919215459</v>
      </c>
      <c r="S85" s="18">
        <f t="shared" si="49"/>
        <v>0.15236508076519611</v>
      </c>
      <c r="T85" s="18">
        <f t="shared" si="49"/>
        <v>0.15179703802238712</v>
      </c>
      <c r="U85" s="18">
        <f t="shared" si="49"/>
        <v>0.15123111303881823</v>
      </c>
      <c r="V85" s="18">
        <f t="shared" si="49"/>
        <v>0.15066729791912545</v>
      </c>
      <c r="W85" s="18">
        <f t="shared" si="50"/>
        <v>0.15142849266690678</v>
      </c>
      <c r="X85" s="2"/>
    </row>
    <row r="86" spans="1:24" ht="12.75" customHeight="1" x14ac:dyDescent="0.2">
      <c r="A86" s="52" t="str">
        <f>Historical!A84</f>
        <v>Taxes, other than income taxes</v>
      </c>
      <c r="B86" s="77">
        <f>Historical!R84</f>
        <v>190</v>
      </c>
      <c r="C86" s="2">
        <v>194</v>
      </c>
      <c r="D86" s="2">
        <f>D28*Assumptions!$C$68</f>
        <v>197.48764570241269</v>
      </c>
      <c r="E86" s="2">
        <f>E28*Assumptions!$C$68</f>
        <v>204.21969943728382</v>
      </c>
      <c r="F86" s="2">
        <f>F28*Assumptions!$C$68</f>
        <v>207.45785368086538</v>
      </c>
      <c r="G86" s="2">
        <f>G28*Assumptions!$C$68</f>
        <v>210.20165119152293</v>
      </c>
      <c r="H86" s="2">
        <f>H28*Assumptions!$C$68</f>
        <v>212.94471469319296</v>
      </c>
      <c r="I86" s="2">
        <f>I28*Assumptions!$C$68</f>
        <v>215.68476543774469</v>
      </c>
      <c r="J86" s="2">
        <f>J28*Assumptions!$C$68</f>
        <v>218.41939021934704</v>
      </c>
      <c r="K86" s="5">
        <f>RATE(8,,-B86,J86)</f>
        <v>1.7576804326227352E-2</v>
      </c>
      <c r="L86" s="2"/>
      <c r="M86" s="52" t="str">
        <f t="shared" si="46"/>
        <v>Taxes, other than income taxes</v>
      </c>
      <c r="N86" s="90">
        <f t="shared" si="49"/>
        <v>3.6531436262257258E-2</v>
      </c>
      <c r="O86" s="95">
        <f t="shared" si="49"/>
        <v>3.664525878352852E-2</v>
      </c>
      <c r="P86" s="18">
        <f t="shared" si="49"/>
        <v>3.6834631361896186E-2</v>
      </c>
      <c r="Q86" s="18">
        <f t="shared" si="49"/>
        <v>3.7610954939716071E-2</v>
      </c>
      <c r="R86" s="18">
        <f t="shared" si="49"/>
        <v>3.7060689104484554E-2</v>
      </c>
      <c r="S86" s="18">
        <f t="shared" si="49"/>
        <v>3.6617540652449376E-2</v>
      </c>
      <c r="T86" s="18">
        <f t="shared" si="49"/>
        <v>3.6173401919691379E-2</v>
      </c>
      <c r="U86" s="18">
        <f t="shared" si="49"/>
        <v>3.5728221508339778E-2</v>
      </c>
      <c r="V86" s="18">
        <f t="shared" si="49"/>
        <v>3.5281948154686368E-2</v>
      </c>
      <c r="W86" s="18">
        <f t="shared" si="50"/>
        <v>3.6462370952766714E-2</v>
      </c>
      <c r="X86" s="2"/>
    </row>
    <row r="87" spans="1:24" ht="12.75" hidden="1" customHeight="1" x14ac:dyDescent="0.2">
      <c r="A87" s="52" t="str">
        <f>Historical!A85</f>
        <v>Other Operating Expenses</v>
      </c>
      <c r="B87" s="77">
        <f>Historical!R85</f>
        <v>0</v>
      </c>
      <c r="C87" s="2">
        <f>B87*(1+Assumptions!$C$16)</f>
        <v>0</v>
      </c>
      <c r="D87" s="2">
        <f>C87*(1+Assumptions!$C$16)</f>
        <v>0</v>
      </c>
      <c r="E87" s="2">
        <f>D87*(1+Assumptions!$C$16)</f>
        <v>0</v>
      </c>
      <c r="F87" s="2">
        <f>E87*(1+Assumptions!$C$16)</f>
        <v>0</v>
      </c>
      <c r="G87" s="2">
        <f>F87*(1+Assumptions!$C$16)</f>
        <v>0</v>
      </c>
      <c r="H87" s="2">
        <f>G87*(1+Assumptions!$C$16)</f>
        <v>0</v>
      </c>
      <c r="I87" s="2">
        <f>H87*(1+Assumptions!$C$16)</f>
        <v>0</v>
      </c>
      <c r="J87" s="2">
        <f>I87*(1+Assumptions!$C$16)</f>
        <v>0</v>
      </c>
      <c r="K87" s="5"/>
      <c r="L87" s="2"/>
      <c r="M87" s="52" t="str">
        <f t="shared" si="46"/>
        <v>Other Operating Expenses</v>
      </c>
      <c r="N87" s="90">
        <f t="shared" si="49"/>
        <v>0</v>
      </c>
      <c r="O87" s="95">
        <f t="shared" si="49"/>
        <v>0</v>
      </c>
      <c r="P87" s="18">
        <f t="shared" si="49"/>
        <v>0</v>
      </c>
      <c r="Q87" s="18">
        <f t="shared" si="49"/>
        <v>0</v>
      </c>
      <c r="R87" s="18">
        <f t="shared" si="49"/>
        <v>0</v>
      </c>
      <c r="S87" s="18">
        <f t="shared" si="49"/>
        <v>0</v>
      </c>
      <c r="T87" s="18">
        <f t="shared" si="49"/>
        <v>0</v>
      </c>
      <c r="U87" s="18">
        <f t="shared" si="49"/>
        <v>0</v>
      </c>
      <c r="V87" s="18">
        <f t="shared" si="49"/>
        <v>0</v>
      </c>
      <c r="W87" s="18">
        <f t="shared" si="50"/>
        <v>0</v>
      </c>
      <c r="X87" s="2"/>
    </row>
    <row r="88" spans="1:24" ht="12.75" customHeight="1" x14ac:dyDescent="0.2">
      <c r="A88" s="52" t="str">
        <f>Historical!A86</f>
        <v>Total Operating Expenses</v>
      </c>
      <c r="B88" s="85">
        <f>SUM(B83:B87)</f>
        <v>3775</v>
      </c>
      <c r="C88" s="20">
        <f t="shared" ref="C88:J88" si="51">SUM(C82:C87)</f>
        <v>3825</v>
      </c>
      <c r="D88" s="20">
        <f t="shared" si="51"/>
        <v>3894.6092995186109</v>
      </c>
      <c r="E88" s="20">
        <f t="shared" si="51"/>
        <v>4000.7446628064849</v>
      </c>
      <c r="F88" s="20">
        <f t="shared" si="51"/>
        <v>4090.4053426579635</v>
      </c>
      <c r="G88" s="20">
        <f t="shared" si="51"/>
        <v>4187.367528145197</v>
      </c>
      <c r="H88" s="20">
        <f t="shared" si="51"/>
        <v>4286.6225799620934</v>
      </c>
      <c r="I88" s="20">
        <f t="shared" si="51"/>
        <v>4388.2242192010499</v>
      </c>
      <c r="J88" s="20">
        <f t="shared" si="51"/>
        <v>4492.2274034583625</v>
      </c>
      <c r="K88" s="17">
        <f>RATE(8,,-B88,J88)</f>
        <v>2.1981647950093226E-2</v>
      </c>
      <c r="L88" s="2"/>
      <c r="M88" s="52" t="str">
        <f t="shared" si="46"/>
        <v>Total Operating Expenses</v>
      </c>
      <c r="N88" s="129">
        <f t="shared" si="49"/>
        <v>0.72582195731590082</v>
      </c>
      <c r="O88" s="96">
        <f t="shared" si="49"/>
        <v>0.72251605591235357</v>
      </c>
      <c r="P88" s="97">
        <f t="shared" si="49"/>
        <v>0.72640745367206616</v>
      </c>
      <c r="Q88" s="97">
        <f t="shared" si="49"/>
        <v>0.7368134790754326</v>
      </c>
      <c r="R88" s="97">
        <f t="shared" si="49"/>
        <v>0.73071825445937022</v>
      </c>
      <c r="S88" s="97">
        <f t="shared" si="49"/>
        <v>0.72944765095540209</v>
      </c>
      <c r="T88" s="97">
        <f t="shared" si="49"/>
        <v>0.72817830527704541</v>
      </c>
      <c r="U88" s="97">
        <f t="shared" si="49"/>
        <v>0.72691015804326942</v>
      </c>
      <c r="V88" s="97">
        <f t="shared" si="49"/>
        <v>0.72564315003677848</v>
      </c>
      <c r="W88" s="97">
        <f t="shared" si="50"/>
        <v>0.72830065871977945</v>
      </c>
      <c r="X88" s="2"/>
    </row>
    <row r="89" spans="1:24" ht="12.75" customHeight="1" x14ac:dyDescent="0.2">
      <c r="A89" s="52" t="str">
        <f>Historical!A87</f>
        <v>Earnings From Operations</v>
      </c>
      <c r="B89" s="85">
        <f t="shared" ref="B89:J89" si="52">B80-B88</f>
        <v>1426</v>
      </c>
      <c r="C89" s="20">
        <f t="shared" si="52"/>
        <v>1469</v>
      </c>
      <c r="D89" s="20">
        <f t="shared" si="52"/>
        <v>1466.8572986432755</v>
      </c>
      <c r="E89" s="20">
        <f t="shared" si="52"/>
        <v>1429.0483260876576</v>
      </c>
      <c r="F89" s="20">
        <f t="shared" si="52"/>
        <v>1507.3819271896932</v>
      </c>
      <c r="G89" s="20">
        <f t="shared" si="52"/>
        <v>1553.0958521408947</v>
      </c>
      <c r="H89" s="20">
        <f t="shared" si="52"/>
        <v>1600.1534320356677</v>
      </c>
      <c r="I89" s="20">
        <f t="shared" si="52"/>
        <v>1648.5936332464607</v>
      </c>
      <c r="J89" s="20">
        <f t="shared" si="52"/>
        <v>1698.4565480551028</v>
      </c>
      <c r="K89" s="17">
        <f>RATE(8,,-B89,J89)</f>
        <v>2.2096413576951138E-2</v>
      </c>
      <c r="L89" s="2"/>
      <c r="M89" s="52" t="str">
        <f t="shared" si="46"/>
        <v>Earnings From Operations</v>
      </c>
      <c r="N89" s="91">
        <f t="shared" si="49"/>
        <v>0.27417804268409923</v>
      </c>
      <c r="O89" s="93">
        <f t="shared" si="49"/>
        <v>0.27748394408764637</v>
      </c>
      <c r="P89" s="17">
        <f t="shared" si="49"/>
        <v>0.27359254632793378</v>
      </c>
      <c r="Q89" s="17">
        <f t="shared" si="49"/>
        <v>0.2631865209245674</v>
      </c>
      <c r="R89" s="17">
        <f t="shared" si="49"/>
        <v>0.26928174554062972</v>
      </c>
      <c r="S89" s="17">
        <f t="shared" si="49"/>
        <v>0.27055234904459785</v>
      </c>
      <c r="T89" s="17">
        <f t="shared" si="49"/>
        <v>0.27182169472295464</v>
      </c>
      <c r="U89" s="17">
        <f t="shared" si="49"/>
        <v>0.27308984195673064</v>
      </c>
      <c r="V89" s="17">
        <f t="shared" si="49"/>
        <v>0.27435684996322146</v>
      </c>
      <c r="W89" s="17">
        <f t="shared" si="50"/>
        <v>0.27169934128022061</v>
      </c>
      <c r="X89" s="2"/>
    </row>
    <row r="90" spans="1:24" ht="12.75" customHeight="1" x14ac:dyDescent="0.2">
      <c r="B90" s="77"/>
      <c r="C90" s="2"/>
      <c r="D90" s="2"/>
      <c r="E90" s="2"/>
      <c r="F90" s="2"/>
      <c r="G90" s="2"/>
      <c r="H90" s="2"/>
      <c r="I90" s="2"/>
      <c r="J90" s="2"/>
      <c r="K90" s="5"/>
      <c r="L90" s="2"/>
      <c r="N90" s="90"/>
      <c r="O90" s="95"/>
      <c r="P90" s="18"/>
      <c r="Q90" s="18"/>
      <c r="R90" s="18"/>
      <c r="S90" s="18"/>
      <c r="T90" s="18"/>
      <c r="U90" s="18"/>
      <c r="V90" s="18"/>
      <c r="W90" s="18"/>
      <c r="X90" s="2"/>
    </row>
    <row r="91" spans="1:24" ht="12.75" customHeight="1" x14ac:dyDescent="0.2">
      <c r="A91" s="52" t="str">
        <f>Historical!A89</f>
        <v>Interest expense (net)</v>
      </c>
      <c r="B91" s="77">
        <f>Historical!R89</f>
        <v>365</v>
      </c>
      <c r="C91" s="2">
        <v>361</v>
      </c>
      <c r="D91" s="2">
        <f ca="1">AVERAGE(C43:D43)*Assumptions!$C$6+(AVERAGE(Forecast!C42:D42)+AVERAGE(Forecast!C50:D50))*Assumptions!$C$73</f>
        <v>350.93677577283779</v>
      </c>
      <c r="E91" s="2">
        <f ca="1">AVERAGE(D43:E43)*Assumptions!$C$6+(AVERAGE(Forecast!D42:E42)+AVERAGE(Forecast!D50:E50))*Assumptions!$C$73</f>
        <v>344.19190532513318</v>
      </c>
      <c r="F91" s="2">
        <f ca="1">AVERAGE(E43:F43)*Assumptions!$C$6+(AVERAGE(Forecast!E42:F42)+AVERAGE(Forecast!E50:F50))*Assumptions!$C$73</f>
        <v>337.577011479806</v>
      </c>
      <c r="G91" s="2">
        <f ca="1">AVERAGE(F43:G43)*Assumptions!$C$6+(AVERAGE(Forecast!F42:G42)+AVERAGE(Forecast!F50:G50))*Assumptions!$C$73</f>
        <v>331.07604584531714</v>
      </c>
      <c r="H91" s="2">
        <f ca="1">AVERAGE(G43:H43)*Assumptions!$C$6+(AVERAGE(Forecast!G42:H42)+AVERAGE(Forecast!G50:H50))*Assumptions!$C$73</f>
        <v>324.70011352104024</v>
      </c>
      <c r="I91" s="2">
        <f ca="1">AVERAGE(H43:I43)*Assumptions!$C$6+(AVERAGE(Forecast!H42:I42)+AVERAGE(Forecast!H50:I50))*Assumptions!$C$73</f>
        <v>318.44890441645305</v>
      </c>
      <c r="J91" s="2">
        <f ca="1">AVERAGE(I43:J43)*Assumptions!$C$6+(AVERAGE(Forecast!I42:J42)+AVERAGE(Forecast!I50:J50))*Assumptions!$C$73</f>
        <v>312.28167721662328</v>
      </c>
      <c r="K91" s="5">
        <f ca="1">RATE(8,,-B91,J91)</f>
        <v>-1.9310094881518754E-2</v>
      </c>
      <c r="L91" s="2"/>
      <c r="M91" s="52" t="str">
        <f t="shared" si="46"/>
        <v>Interest expense (net)</v>
      </c>
      <c r="N91" s="90">
        <f t="shared" ref="N91:V94" si="53">B91/B$80</f>
        <v>7.0178811766967886E-2</v>
      </c>
      <c r="O91" s="95">
        <f t="shared" si="53"/>
        <v>6.8190404231205134E-2</v>
      </c>
      <c r="P91" s="18">
        <f t="shared" ca="1" si="53"/>
        <v>6.5455369225493679E-2</v>
      </c>
      <c r="Q91" s="18">
        <f t="shared" ca="1" si="53"/>
        <v>6.3389507855847918E-2</v>
      </c>
      <c r="R91" s="18">
        <f t="shared" ca="1" si="53"/>
        <v>6.0305437703600542E-2</v>
      </c>
      <c r="S91" s="18">
        <f t="shared" ca="1" si="53"/>
        <v>5.767409770129342E-2</v>
      </c>
      <c r="T91" s="18">
        <f t="shared" ca="1" si="53"/>
        <v>5.5157545124746243E-2</v>
      </c>
      <c r="U91" s="18">
        <f t="shared" ca="1" si="53"/>
        <v>5.2751120242487376E-2</v>
      </c>
      <c r="V91" s="18">
        <f t="shared" ca="1" si="53"/>
        <v>5.0443808739465426E-2</v>
      </c>
      <c r="W91" s="5">
        <f t="shared" ref="W91:W96" ca="1" si="54">SUM(C91:J91)/SUM(C$80:J$80)</f>
        <v>5.8856886734354651E-2</v>
      </c>
      <c r="X91" s="2"/>
    </row>
    <row r="92" spans="1:24" ht="12.75" customHeight="1" x14ac:dyDescent="0.2">
      <c r="A92" s="52" t="str">
        <f>Historical!A90</f>
        <v>Interest income</v>
      </c>
      <c r="B92" s="77">
        <f>Historical!R90</f>
        <v>-15</v>
      </c>
      <c r="C92" s="2">
        <f>-AVERAGE(B12:C12)*Assumptions!$C$7</f>
        <v>-0.17271685295027084</v>
      </c>
      <c r="D92" s="2">
        <f>-AVERAGE(C12:D12)*Assumptions!$C$7</f>
        <v>-0.17655156719068543</v>
      </c>
      <c r="E92" s="2">
        <f>-AVERAGE(D12:E12)*Assumptions!$C$7</f>
        <v>-0.17880153576614918</v>
      </c>
      <c r="F92" s="2">
        <f>-AVERAGE(E12:F12)*Assumptions!$C$7</f>
        <v>-0.18271715828359725</v>
      </c>
      <c r="G92" s="2">
        <f>-AVERAGE(F12:G12)*Assumptions!$C$7</f>
        <v>-0.1878646892691905</v>
      </c>
      <c r="H92" s="2">
        <f>-AVERAGE(G12:H12)*Assumptions!$C$7</f>
        <v>-0.19265297468654305</v>
      </c>
      <c r="I92" s="2">
        <f>-AVERAGE(H12:I12)*Assumptions!$C$7</f>
        <v>-0.1975633036732711</v>
      </c>
      <c r="J92" s="2">
        <f>-AVERAGE(I12:J12)*Assumptions!$C$7</f>
        <v>-0.20259878686951566</v>
      </c>
      <c r="K92" s="5">
        <f>RATE(8,,-B92,J92)</f>
        <v>-0.41612726213315837</v>
      </c>
      <c r="L92" s="2"/>
      <c r="M92" s="52" t="str">
        <f t="shared" si="46"/>
        <v>Interest income</v>
      </c>
      <c r="N92" s="90">
        <f t="shared" si="53"/>
        <v>-2.8840607575466256E-3</v>
      </c>
      <c r="O92" s="95">
        <f t="shared" si="53"/>
        <v>-3.2625019446594414E-5</v>
      </c>
      <c r="P92" s="18">
        <f t="shared" si="53"/>
        <v>-3.2929715024469981E-5</v>
      </c>
      <c r="Q92" s="18">
        <f t="shared" si="53"/>
        <v>-3.2929715024469974E-5</v>
      </c>
      <c r="R92" s="18">
        <f t="shared" si="53"/>
        <v>-3.2640961414843095E-5</v>
      </c>
      <c r="S92" s="18">
        <f t="shared" si="53"/>
        <v>-3.2726397996781187E-5</v>
      </c>
      <c r="T92" s="18">
        <f t="shared" si="53"/>
        <v>-3.272639799678118E-5</v>
      </c>
      <c r="U92" s="18">
        <f t="shared" si="53"/>
        <v>-3.2726397996781187E-5</v>
      </c>
      <c r="V92" s="18">
        <f t="shared" si="53"/>
        <v>-3.272639799678118E-5</v>
      </c>
      <c r="W92" s="5">
        <f t="shared" si="54"/>
        <v>-3.2752290623964592E-5</v>
      </c>
      <c r="X92" s="2"/>
    </row>
    <row r="93" spans="1:24" ht="15" customHeight="1" x14ac:dyDescent="0.2">
      <c r="A93" s="52" t="str">
        <f>Historical!A91</f>
        <v>Loss (Gain) on Sale of Assets</v>
      </c>
      <c r="B93" s="77">
        <f>Historical!R91</f>
        <v>0</v>
      </c>
      <c r="C93" s="2">
        <f>Assumptions!$C$22</f>
        <v>0</v>
      </c>
      <c r="D93" s="2">
        <f>Assumptions!$C$22</f>
        <v>0</v>
      </c>
      <c r="E93" s="2">
        <f>Assumptions!$C$22</f>
        <v>0</v>
      </c>
      <c r="F93" s="2">
        <f>Assumptions!$C$22</f>
        <v>0</v>
      </c>
      <c r="G93" s="2">
        <f>Assumptions!$C$22</f>
        <v>0</v>
      </c>
      <c r="H93" s="2">
        <f>Assumptions!$C$22</f>
        <v>0</v>
      </c>
      <c r="I93" s="2">
        <f>Assumptions!$C$22</f>
        <v>0</v>
      </c>
      <c r="J93" s="2">
        <f>Assumptions!$C$22</f>
        <v>0</v>
      </c>
      <c r="K93" s="5"/>
      <c r="L93" s="2"/>
      <c r="M93" s="52" t="str">
        <f t="shared" si="46"/>
        <v>Loss (Gain) on Sale of Assets</v>
      </c>
      <c r="N93" s="90">
        <f t="shared" si="53"/>
        <v>0</v>
      </c>
      <c r="O93" s="95">
        <f t="shared" si="53"/>
        <v>0</v>
      </c>
      <c r="P93" s="18">
        <f t="shared" si="53"/>
        <v>0</v>
      </c>
      <c r="Q93" s="18">
        <f t="shared" si="53"/>
        <v>0</v>
      </c>
      <c r="R93" s="18">
        <f t="shared" si="53"/>
        <v>0</v>
      </c>
      <c r="S93" s="18">
        <f t="shared" si="53"/>
        <v>0</v>
      </c>
      <c r="T93" s="18">
        <f t="shared" si="53"/>
        <v>0</v>
      </c>
      <c r="U93" s="18">
        <f t="shared" si="53"/>
        <v>0</v>
      </c>
      <c r="V93" s="18">
        <f t="shared" si="53"/>
        <v>0</v>
      </c>
      <c r="W93" s="5">
        <f t="shared" si="54"/>
        <v>0</v>
      </c>
      <c r="X93" s="2"/>
    </row>
    <row r="94" spans="1:24" ht="28.5" customHeight="1" x14ac:dyDescent="0.2">
      <c r="A94" s="112" t="s">
        <v>183</v>
      </c>
      <c r="B94" s="77">
        <v>0</v>
      </c>
      <c r="C94" s="2">
        <f ca="1">((B13+C13)/2)*-Assumptions!$C$7+((B54+C54)/2)*Assumptions!$C$5</f>
        <v>10.473963329862407</v>
      </c>
      <c r="D94" s="2">
        <f ca="1">((C13+D13)/2)*-Assumptions!$C$7+((C54+D54)/2)*Assumptions!$C$5</f>
        <v>31.295564968403827</v>
      </c>
      <c r="E94" s="2">
        <f ca="1">((D13+E13)/2)*-Assumptions!$C$7+((D54+E54)/2)*Assumptions!$C$5</f>
        <v>58.819161579025426</v>
      </c>
      <c r="F94" s="2">
        <f ca="1">((E13+F13)/2)*-Assumptions!$C$7+((E54+F54)/2)*Assumptions!$C$5</f>
        <v>85.429436278237887</v>
      </c>
      <c r="G94" s="2">
        <f ca="1">((F13+G13)/2)*-Assumptions!$C$7+((F54+G54)/2)*Assumptions!$C$5</f>
        <v>102.59935054222736</v>
      </c>
      <c r="H94" s="2">
        <f ca="1">((G13+H13)/2)*-Assumptions!$C$7+((G54+H54)/2)*Assumptions!$C$5</f>
        <v>117.32855050048985</v>
      </c>
      <c r="I94" s="2">
        <f ca="1">((H13+I13)/2)*-Assumptions!$C$7+((H54+I54)/2)*Assumptions!$C$5</f>
        <v>130.52158867963692</v>
      </c>
      <c r="J94" s="2">
        <f ca="1">((I13+J13)/2)*-Assumptions!$C$7+((I54+J54)/2)*Assumptions!$C$5</f>
        <v>115.36746725397971</v>
      </c>
      <c r="K94" s="5"/>
      <c r="L94" s="2"/>
      <c r="M94" s="112" t="str">
        <f t="shared" si="46"/>
        <v>Interest Expense (Income) on Additional Loans (Surplus Cash)</v>
      </c>
      <c r="N94" s="90">
        <f>B94/B$80</f>
        <v>0</v>
      </c>
      <c r="O94" s="95">
        <f ca="1">C94/C$80</f>
        <v>1.9784592614020412E-3</v>
      </c>
      <c r="P94" s="18">
        <f t="shared" ca="1" si="53"/>
        <v>5.8371276581547912E-3</v>
      </c>
      <c r="Q94" s="18">
        <f t="shared" ref="Q94:V94" ca="1" si="55">E94/E$80</f>
        <v>1.083267109802004E-2</v>
      </c>
      <c r="R94" s="18">
        <f t="shared" ca="1" si="55"/>
        <v>1.5261286676326813E-2</v>
      </c>
      <c r="S94" s="18">
        <f t="shared" ca="1" si="55"/>
        <v>1.7873008456873743E-2</v>
      </c>
      <c r="T94" s="18">
        <f t="shared" ca="1" si="55"/>
        <v>1.9930867126821891E-2</v>
      </c>
      <c r="U94" s="18">
        <f t="shared" ca="1" si="55"/>
        <v>2.1620925439504435E-2</v>
      </c>
      <c r="V94" s="18">
        <f t="shared" ca="1" si="55"/>
        <v>1.8635657733064422E-2</v>
      </c>
      <c r="W94" s="5">
        <f t="shared" ca="1" si="54"/>
        <v>1.4314157779712251E-2</v>
      </c>
      <c r="X94" s="2"/>
    </row>
    <row r="95" spans="1:24" ht="12.75" customHeight="1" x14ac:dyDescent="0.2">
      <c r="A95" s="52" t="str">
        <f>Historical!A92</f>
        <v>Other (Income) Expense</v>
      </c>
      <c r="B95" s="77">
        <f>Historical!R92</f>
        <v>-27</v>
      </c>
      <c r="C95" s="2">
        <f>C79*Assumptions!$C$77</f>
        <v>-30.43692340834243</v>
      </c>
      <c r="D95" s="2">
        <f>D79*Assumptions!$C$77</f>
        <v>-30.824810767782317</v>
      </c>
      <c r="E95" s="2">
        <f>E79*Assumptions!$C$77</f>
        <v>-31.21764135363161</v>
      </c>
      <c r="F95" s="2">
        <f>F79*Assumptions!$C$77</f>
        <v>-32.183494973280581</v>
      </c>
      <c r="G95" s="2">
        <f>G79*Assumptions!$C$77</f>
        <v>-33.003786217257698</v>
      </c>
      <c r="H95" s="2">
        <f>H79*Assumptions!$C$77</f>
        <v>-33.844985001746004</v>
      </c>
      <c r="I95" s="2">
        <f>I79*Assumptions!$C$77</f>
        <v>-34.707624217049322</v>
      </c>
      <c r="J95" s="2">
        <f>J79*Assumptions!$C$77</f>
        <v>-35.592250335751793</v>
      </c>
      <c r="K95" s="5">
        <f>RATE(8,,-B95,J95)</f>
        <v>3.513968878475221E-2</v>
      </c>
      <c r="L95" s="2"/>
      <c r="M95" s="52" t="str">
        <f t="shared" si="46"/>
        <v>Other (Income) Expense</v>
      </c>
      <c r="N95" s="90">
        <f>B95/B$80</f>
        <v>-5.1913093635839258E-3</v>
      </c>
      <c r="O95" s="95">
        <f t="shared" ref="O95:V96" si="56">C95/C$80</f>
        <v>-5.7493244065626049E-3</v>
      </c>
      <c r="P95" s="18">
        <f t="shared" si="56"/>
        <v>-5.7493244065626049E-3</v>
      </c>
      <c r="Q95" s="18">
        <f t="shared" si="56"/>
        <v>-5.7493244065626049E-3</v>
      </c>
      <c r="R95" s="18">
        <f t="shared" si="56"/>
        <v>-5.7493244065626049E-3</v>
      </c>
      <c r="S95" s="18">
        <f t="shared" si="56"/>
        <v>-5.7493244065626049E-3</v>
      </c>
      <c r="T95" s="18">
        <f t="shared" si="56"/>
        <v>-5.7493244065626049E-3</v>
      </c>
      <c r="U95" s="18">
        <f t="shared" si="56"/>
        <v>-5.7493244065626049E-3</v>
      </c>
      <c r="V95" s="18">
        <f t="shared" si="56"/>
        <v>-5.7493244065626049E-3</v>
      </c>
      <c r="W95" s="5">
        <f t="shared" si="54"/>
        <v>-5.7493244065626057E-3</v>
      </c>
      <c r="X95" s="2"/>
    </row>
    <row r="96" spans="1:24" ht="12.75" customHeight="1" x14ac:dyDescent="0.2">
      <c r="A96" s="52" t="str">
        <f>Historical!A93</f>
        <v>Total Other (Income)/Expense</v>
      </c>
      <c r="B96" s="85">
        <f>SUM(B91:B95)</f>
        <v>323</v>
      </c>
      <c r="C96" s="20">
        <f ca="1">SUM(C91:C95)</f>
        <v>340.86432306856972</v>
      </c>
      <c r="D96" s="20">
        <f t="shared" ref="D96:J96" ca="1" si="57">SUM(D91:D95)</f>
        <v>351.2309784062686</v>
      </c>
      <c r="E96" s="20">
        <f t="shared" ca="1" si="57"/>
        <v>371.61462401476086</v>
      </c>
      <c r="F96" s="20">
        <f t="shared" ca="1" si="57"/>
        <v>390.64023562647975</v>
      </c>
      <c r="G96" s="20">
        <f t="shared" ca="1" si="57"/>
        <v>400.48374548101759</v>
      </c>
      <c r="H96" s="20">
        <f t="shared" ca="1" si="57"/>
        <v>407.9910260450975</v>
      </c>
      <c r="I96" s="20">
        <f t="shared" ca="1" si="57"/>
        <v>414.06530557536735</v>
      </c>
      <c r="J96" s="20">
        <f t="shared" ca="1" si="57"/>
        <v>391.85429534798169</v>
      </c>
      <c r="K96" s="17">
        <f ca="1">RATE(8,,-B96,J96)</f>
        <v>2.4448807315844499E-2</v>
      </c>
      <c r="L96" s="2"/>
      <c r="M96" s="52" t="str">
        <f t="shared" si="46"/>
        <v>Total Other (Income)/Expense</v>
      </c>
      <c r="N96" s="91">
        <f>B96/B$80</f>
        <v>6.2103441645837337E-2</v>
      </c>
      <c r="O96" s="93">
        <f t="shared" ca="1" si="56"/>
        <v>6.4386914066597981E-2</v>
      </c>
      <c r="P96" s="17">
        <f t="shared" ca="1" si="56"/>
        <v>6.5510242762061383E-2</v>
      </c>
      <c r="Q96" s="17">
        <f t="shared" ca="1" si="56"/>
        <v>6.8439924832280882E-2</v>
      </c>
      <c r="R96" s="17">
        <f t="shared" ca="1" si="56"/>
        <v>6.9784759011949915E-2</v>
      </c>
      <c r="S96" s="17">
        <f t="shared" ca="1" si="56"/>
        <v>6.9765055353607774E-2</v>
      </c>
      <c r="T96" s="17">
        <f t="shared" ca="1" si="56"/>
        <v>6.9306361447008746E-2</v>
      </c>
      <c r="U96" s="17">
        <f t="shared" ca="1" si="56"/>
        <v>6.858999487743242E-2</v>
      </c>
      <c r="V96" s="17">
        <f t="shared" ca="1" si="56"/>
        <v>6.3297415667970466E-2</v>
      </c>
      <c r="W96" s="17">
        <f t="shared" ca="1" si="54"/>
        <v>6.7388967816880349E-2</v>
      </c>
      <c r="X96" s="19"/>
    </row>
    <row r="97" spans="1:24" ht="12.75" customHeight="1" x14ac:dyDescent="0.2">
      <c r="B97" s="77"/>
      <c r="C97" s="19"/>
      <c r="D97" s="19"/>
      <c r="E97" s="19"/>
      <c r="F97" s="19"/>
      <c r="G97" s="19"/>
      <c r="H97" s="19"/>
      <c r="I97" s="19"/>
      <c r="J97" s="19"/>
      <c r="K97" s="18"/>
      <c r="L97" s="19"/>
      <c r="N97" s="90"/>
      <c r="O97" s="95"/>
      <c r="P97" s="18"/>
      <c r="Q97" s="18"/>
      <c r="R97" s="18"/>
      <c r="S97" s="18"/>
      <c r="T97" s="18"/>
      <c r="U97" s="18"/>
      <c r="V97" s="18"/>
      <c r="W97" s="18"/>
      <c r="X97" s="19"/>
    </row>
    <row r="98" spans="1:24" ht="12.75" customHeight="1" x14ac:dyDescent="0.2">
      <c r="A98" s="172" t="str">
        <f>Historical!A95</f>
        <v>Earnings Before Taxes</v>
      </c>
      <c r="B98" s="238">
        <f>B89-B96</f>
        <v>1103</v>
      </c>
      <c r="C98" s="246">
        <f ca="1">C89-C96</f>
        <v>1128.1356769314302</v>
      </c>
      <c r="D98" s="103">
        <f t="shared" ref="D98:J98" ca="1" si="58">D89-D96</f>
        <v>1115.6263202370069</v>
      </c>
      <c r="E98" s="103">
        <f t="shared" ca="1" si="58"/>
        <v>1057.4337020728967</v>
      </c>
      <c r="F98" s="103">
        <f t="shared" ca="1" si="58"/>
        <v>1116.7416915632134</v>
      </c>
      <c r="G98" s="103">
        <f t="shared" ca="1" si="58"/>
        <v>1152.6121066598771</v>
      </c>
      <c r="H98" s="103">
        <f t="shared" ca="1" si="58"/>
        <v>1192.1624059905703</v>
      </c>
      <c r="I98" s="103">
        <f t="shared" ca="1" si="58"/>
        <v>1234.5283276710934</v>
      </c>
      <c r="J98" s="103">
        <f t="shared" ca="1" si="58"/>
        <v>1306.6022527071211</v>
      </c>
      <c r="K98" s="179">
        <f ca="1">RATE(8,,-B98,J98)</f>
        <v>2.1400312216385262E-2</v>
      </c>
      <c r="L98" s="172"/>
      <c r="M98" s="172" t="str">
        <f t="shared" si="46"/>
        <v>Earnings Before Taxes</v>
      </c>
      <c r="N98" s="244"/>
      <c r="O98" s="245"/>
      <c r="P98" s="107"/>
      <c r="Q98" s="107"/>
      <c r="R98" s="107"/>
      <c r="S98" s="107"/>
      <c r="T98" s="107"/>
      <c r="U98" s="107"/>
      <c r="V98" s="107"/>
      <c r="W98" s="107"/>
      <c r="X98" s="172"/>
    </row>
    <row r="99" spans="1:24" ht="12.75" customHeight="1" x14ac:dyDescent="0.2">
      <c r="B99" s="77"/>
      <c r="C99" s="19"/>
      <c r="D99" s="19"/>
      <c r="E99" s="19"/>
      <c r="F99" s="19"/>
      <c r="G99" s="19"/>
      <c r="H99" s="19"/>
      <c r="I99" s="19"/>
      <c r="J99" s="19"/>
      <c r="K99" s="18"/>
      <c r="L99" s="2"/>
      <c r="N99" s="90">
        <f t="shared" ref="N99:V102" si="59">B99/B$80</f>
        <v>0</v>
      </c>
      <c r="O99" s="95">
        <f t="shared" si="59"/>
        <v>0</v>
      </c>
      <c r="P99" s="18">
        <f t="shared" si="59"/>
        <v>0</v>
      </c>
      <c r="Q99" s="18">
        <f t="shared" si="59"/>
        <v>0</v>
      </c>
      <c r="R99" s="18">
        <f t="shared" si="59"/>
        <v>0</v>
      </c>
      <c r="S99" s="18">
        <f t="shared" si="59"/>
        <v>0</v>
      </c>
      <c r="T99" s="18">
        <f t="shared" si="59"/>
        <v>0</v>
      </c>
      <c r="U99" s="18">
        <f t="shared" si="59"/>
        <v>0</v>
      </c>
      <c r="V99" s="18">
        <f t="shared" si="59"/>
        <v>0</v>
      </c>
      <c r="W99" s="5">
        <f>SUM(C99:J99)/SUM(C$80:J$80)</f>
        <v>0</v>
      </c>
      <c r="X99" s="2"/>
    </row>
    <row r="100" spans="1:24" ht="12.75" customHeight="1" x14ac:dyDescent="0.2">
      <c r="A100" s="52" t="str">
        <f>Historical!A97</f>
        <v>Extraordinary Items</v>
      </c>
      <c r="B100" s="77">
        <f>Historical!R97</f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8"/>
      <c r="L100" s="2"/>
      <c r="M100" s="52" t="str">
        <f t="shared" si="46"/>
        <v>Extraordinary Items</v>
      </c>
      <c r="N100" s="91">
        <f t="shared" si="59"/>
        <v>0</v>
      </c>
      <c r="O100" s="93">
        <f t="shared" si="59"/>
        <v>0</v>
      </c>
      <c r="P100" s="17">
        <f t="shared" si="59"/>
        <v>0</v>
      </c>
      <c r="Q100" s="17">
        <f t="shared" si="59"/>
        <v>0</v>
      </c>
      <c r="R100" s="17">
        <f t="shared" si="59"/>
        <v>0</v>
      </c>
      <c r="S100" s="17">
        <f t="shared" si="59"/>
        <v>0</v>
      </c>
      <c r="T100" s="17">
        <f t="shared" si="59"/>
        <v>0</v>
      </c>
      <c r="U100" s="17">
        <f t="shared" si="59"/>
        <v>0</v>
      </c>
      <c r="V100" s="17">
        <f t="shared" si="59"/>
        <v>0</v>
      </c>
      <c r="W100" s="17">
        <f>SUM(C100:J100)/SUM(C$80:J$80)</f>
        <v>0</v>
      </c>
      <c r="X100" s="2"/>
    </row>
    <row r="101" spans="1:24" ht="12.75" customHeight="1" x14ac:dyDescent="0.2">
      <c r="A101" s="52" t="str">
        <f>Historical!A98</f>
        <v>Income Taxes</v>
      </c>
      <c r="B101" s="77">
        <f>Historical!R98</f>
        <v>340</v>
      </c>
      <c r="C101" s="100">
        <v>356</v>
      </c>
      <c r="D101" s="100">
        <f ca="1">D98*(Assumptions!$C$83+Assumptions!$O$83)</f>
        <v>348.81618616560422</v>
      </c>
      <c r="E101" s="100">
        <f ca="1">E98*(Assumptions!$C$83+Assumptions!$O$83*2)</f>
        <v>333.67672818459437</v>
      </c>
      <c r="F101" s="100">
        <f ca="1">F98*(Assumptions!$C$83+Assumptions!$O$83*3)</f>
        <v>355.61820115483124</v>
      </c>
      <c r="G101" s="100">
        <f ca="1">G98*(Assumptions!$C$83+Assumptions!$O$83*4)</f>
        <v>370.37115261780593</v>
      </c>
      <c r="H101" s="100">
        <f ca="1">H98*(Assumptions!$C$83+Assumptions!$O$83*5)</f>
        <v>386.52448424131774</v>
      </c>
      <c r="I101" s="100">
        <f ca="1">I98*(Assumptions!$C$83+Assumptions!$O$83*6)</f>
        <v>403.8273839836819</v>
      </c>
      <c r="J101" s="100">
        <f ca="1">J98*(Assumptions!$C$83+Assumptions!$O$83*7)</f>
        <v>431.17874339334998</v>
      </c>
      <c r="K101" s="102">
        <f ca="1">RATE(8,,-B101,J101)</f>
        <v>3.0142495734993308E-2</v>
      </c>
      <c r="L101" s="2"/>
      <c r="M101" s="52" t="str">
        <f t="shared" si="46"/>
        <v>Income Taxes</v>
      </c>
      <c r="N101" s="90">
        <f t="shared" si="59"/>
        <v>6.537204383772352E-2</v>
      </c>
      <c r="O101" s="95">
        <f t="shared" si="59"/>
        <v>6.7245938798639965E-2</v>
      </c>
      <c r="P101" s="18">
        <f t="shared" ca="1" si="59"/>
        <v>6.5059845059035074E-2</v>
      </c>
      <c r="Q101" s="18">
        <f t="shared" ca="1" si="59"/>
        <v>6.1452937315857513E-2</v>
      </c>
      <c r="R101" s="18">
        <f t="shared" ca="1" si="59"/>
        <v>6.3528352188437012E-2</v>
      </c>
      <c r="S101" s="18">
        <f t="shared" ca="1" si="59"/>
        <v>6.4519382510083614E-2</v>
      </c>
      <c r="T101" s="18">
        <f t="shared" ca="1" si="59"/>
        <v>6.5659791276846152E-2</v>
      </c>
      <c r="U101" s="18">
        <f t="shared" ca="1" si="59"/>
        <v>6.6894081261696159E-2</v>
      </c>
      <c r="V101" s="18">
        <f t="shared" ca="1" si="59"/>
        <v>6.9649613317432829E-2</v>
      </c>
      <c r="W101" s="102">
        <f ca="1">SUM(C101:J101)/SUM(C$80:J$80)</f>
        <v>6.5572198549831193E-2</v>
      </c>
      <c r="X101" s="2"/>
    </row>
    <row r="102" spans="1:24" ht="12.75" customHeight="1" thickBot="1" x14ac:dyDescent="0.25">
      <c r="A102" s="52" t="str">
        <f>Historical!A99</f>
        <v>Net Income</v>
      </c>
      <c r="B102" s="85">
        <f>B98-B100-B101</f>
        <v>763</v>
      </c>
      <c r="C102" s="20">
        <f t="shared" ref="C102:J102" ca="1" si="60">C98-C100-C101</f>
        <v>772.13567693143023</v>
      </c>
      <c r="D102" s="20">
        <f t="shared" ca="1" si="60"/>
        <v>766.81013407140267</v>
      </c>
      <c r="E102" s="20">
        <f t="shared" ca="1" si="60"/>
        <v>723.75697388830235</v>
      </c>
      <c r="F102" s="20">
        <f t="shared" ca="1" si="60"/>
        <v>761.12349040838217</v>
      </c>
      <c r="G102" s="20">
        <f t="shared" ca="1" si="60"/>
        <v>782.24095404207117</v>
      </c>
      <c r="H102" s="20">
        <f t="shared" ca="1" si="60"/>
        <v>805.63792174925254</v>
      </c>
      <c r="I102" s="20">
        <f t="shared" ca="1" si="60"/>
        <v>830.7009436874115</v>
      </c>
      <c r="J102" s="20">
        <f t="shared" ca="1" si="60"/>
        <v>875.42350931377109</v>
      </c>
      <c r="K102" s="5">
        <f ca="1">RATE(8,,-B102,J102)</f>
        <v>1.7329664656633176E-2</v>
      </c>
      <c r="L102" s="2"/>
      <c r="M102" s="52" t="str">
        <f t="shared" si="46"/>
        <v>Net Income</v>
      </c>
      <c r="N102" s="91">
        <f t="shared" si="59"/>
        <v>0.14670255720053835</v>
      </c>
      <c r="O102" s="93">
        <f t="shared" ca="1" si="59"/>
        <v>0.14585109122240844</v>
      </c>
      <c r="P102" s="17">
        <f t="shared" ca="1" si="59"/>
        <v>0.14302245850683731</v>
      </c>
      <c r="Q102" s="17">
        <f t="shared" ca="1" si="59"/>
        <v>0.13329365877642899</v>
      </c>
      <c r="R102" s="17">
        <f t="shared" ca="1" si="59"/>
        <v>0.13596863434024281</v>
      </c>
      <c r="S102" s="17">
        <f t="shared" ca="1" si="59"/>
        <v>0.13626791118090645</v>
      </c>
      <c r="T102" s="17">
        <f t="shared" ca="1" si="59"/>
        <v>0.13685554199909974</v>
      </c>
      <c r="U102" s="17">
        <f t="shared" ca="1" si="59"/>
        <v>0.13760576581760206</v>
      </c>
      <c r="V102" s="17">
        <f t="shared" ca="1" si="59"/>
        <v>0.14140982097781818</v>
      </c>
      <c r="W102" s="72">
        <f ca="1">SUM(C102:J102)/SUM(C$80:J$80)</f>
        <v>0.13873817491350912</v>
      </c>
      <c r="X102" s="2"/>
    </row>
    <row r="103" spans="1:24" ht="12.75" customHeight="1" thickTop="1" x14ac:dyDescent="0.2">
      <c r="B103" s="86"/>
      <c r="C103" s="78"/>
      <c r="D103" s="78"/>
      <c r="E103" s="78"/>
      <c r="F103" s="78"/>
      <c r="G103" s="78"/>
      <c r="H103" s="78"/>
      <c r="I103" s="78"/>
      <c r="J103" s="78"/>
      <c r="K103" s="71"/>
      <c r="L103" s="2"/>
      <c r="N103" s="92"/>
      <c r="O103" s="94"/>
      <c r="P103" s="71"/>
      <c r="Q103" s="71"/>
      <c r="R103" s="71"/>
      <c r="S103" s="71"/>
      <c r="T103" s="71"/>
      <c r="U103" s="71"/>
      <c r="V103" s="71"/>
      <c r="W103" s="71"/>
      <c r="X103" s="2"/>
    </row>
    <row r="104" spans="1:24" ht="12.75" customHeight="1" x14ac:dyDescent="0.2">
      <c r="A104" s="52" t="str">
        <f>Historical!A101</f>
        <v>Preferred Stock Dividends</v>
      </c>
      <c r="B104" s="77">
        <f>Historical!R101</f>
        <v>0</v>
      </c>
      <c r="C104" s="83">
        <v>0.13</v>
      </c>
      <c r="D104" s="83">
        <v>0.13</v>
      </c>
      <c r="E104" s="83">
        <v>0.13</v>
      </c>
      <c r="F104" s="83">
        <v>0.13</v>
      </c>
      <c r="G104" s="83">
        <v>0.13</v>
      </c>
      <c r="H104" s="83">
        <v>0.13</v>
      </c>
      <c r="I104" s="83">
        <v>0.13</v>
      </c>
      <c r="J104" s="83">
        <v>0.13</v>
      </c>
      <c r="K104" s="5"/>
      <c r="L104" s="2"/>
      <c r="M104" s="52" t="str">
        <f t="shared" si="46"/>
        <v>Preferred Stock Dividends</v>
      </c>
      <c r="N104" s="90">
        <f t="shared" ref="N104:V105" si="61">B104/B$80</f>
        <v>0</v>
      </c>
      <c r="O104" s="95">
        <f t="shared" si="61"/>
        <v>2.4556101246694371E-5</v>
      </c>
      <c r="P104" s="18">
        <f t="shared" si="61"/>
        <v>2.4247096875427504E-5</v>
      </c>
      <c r="Q104" s="18">
        <f t="shared" si="61"/>
        <v>2.3941980894280175E-5</v>
      </c>
      <c r="R104" s="18">
        <f t="shared" si="61"/>
        <v>2.3223462009755497E-5</v>
      </c>
      <c r="S104" s="18">
        <f t="shared" si="61"/>
        <v>2.2646255430606215E-5</v>
      </c>
      <c r="T104" s="18">
        <f t="shared" si="61"/>
        <v>2.2083395008583428E-5</v>
      </c>
      <c r="U104" s="18">
        <f t="shared" si="61"/>
        <v>2.1534524177716251E-5</v>
      </c>
      <c r="V104" s="18">
        <f t="shared" si="61"/>
        <v>2.0999295234288016E-5</v>
      </c>
      <c r="W104" s="5"/>
      <c r="X104" s="2"/>
    </row>
    <row r="105" spans="1:24" ht="12.75" customHeight="1" x14ac:dyDescent="0.2">
      <c r="A105" s="52" t="str">
        <f>Historical!A102</f>
        <v>Common Stock Dividends</v>
      </c>
      <c r="B105" s="77">
        <f>Historical!R102</f>
        <v>875</v>
      </c>
      <c r="C105" s="2">
        <v>665</v>
      </c>
      <c r="D105" s="2">
        <v>665</v>
      </c>
      <c r="E105" s="2">
        <v>665</v>
      </c>
      <c r="F105" s="2">
        <v>675</v>
      </c>
      <c r="G105" s="2">
        <v>675</v>
      </c>
      <c r="H105" s="2">
        <v>675</v>
      </c>
      <c r="I105" s="2">
        <v>675</v>
      </c>
      <c r="J105" s="2">
        <v>675</v>
      </c>
      <c r="K105" s="5">
        <f>RATE(8,,-B105,J105)</f>
        <v>-3.191840164370361E-2</v>
      </c>
      <c r="L105" s="2"/>
      <c r="M105" s="52" t="str">
        <f t="shared" si="46"/>
        <v>Common Stock Dividends</v>
      </c>
      <c r="N105" s="90">
        <f t="shared" si="61"/>
        <v>0.16823687752355315</v>
      </c>
      <c r="O105" s="95">
        <f t="shared" si="61"/>
        <v>0.12561390253116736</v>
      </c>
      <c r="P105" s="18">
        <f t="shared" si="61"/>
        <v>0.12403322632430223</v>
      </c>
      <c r="Q105" s="18">
        <f t="shared" si="61"/>
        <v>0.12247244072843319</v>
      </c>
      <c r="R105" s="18">
        <f t="shared" si="61"/>
        <v>0.12058336043526893</v>
      </c>
      <c r="S105" s="18">
        <f t="shared" si="61"/>
        <v>0.11758632627430149</v>
      </c>
      <c r="T105" s="18">
        <f t="shared" si="61"/>
        <v>0.11466378177533702</v>
      </c>
      <c r="U105" s="18">
        <f t="shared" si="61"/>
        <v>0.11181387553814207</v>
      </c>
      <c r="V105" s="18">
        <f t="shared" si="61"/>
        <v>0.10903480217803392</v>
      </c>
      <c r="W105" s="5"/>
      <c r="X105" s="2"/>
    </row>
    <row r="106" spans="1:24" ht="12.75" customHeight="1" x14ac:dyDescent="0.2">
      <c r="B106" s="19"/>
      <c r="C106" s="2"/>
      <c r="D106" s="2"/>
      <c r="E106" s="2"/>
      <c r="F106" s="2"/>
      <c r="G106" s="2"/>
      <c r="H106" s="2"/>
      <c r="I106" s="2"/>
      <c r="J106" s="2"/>
      <c r="K106" s="2"/>
      <c r="L106" s="2"/>
      <c r="N106" s="18"/>
      <c r="O106" s="18"/>
      <c r="P106" s="18"/>
      <c r="Q106" s="18"/>
      <c r="R106" s="18"/>
      <c r="S106" s="18"/>
      <c r="T106" s="18"/>
      <c r="U106" s="18"/>
      <c r="V106" s="18"/>
      <c r="W106" s="5"/>
      <c r="X106" s="2"/>
    </row>
    <row r="107" spans="1:24" ht="12.75" customHeight="1" x14ac:dyDescent="0.2">
      <c r="B107" s="19"/>
      <c r="C107" s="2"/>
      <c r="D107" s="2"/>
      <c r="E107" s="2"/>
      <c r="F107" s="2"/>
      <c r="G107" s="2"/>
      <c r="H107" s="2"/>
      <c r="I107" s="2"/>
      <c r="J107" s="322"/>
      <c r="K107" s="2"/>
      <c r="L107" s="2"/>
      <c r="N107" s="18"/>
      <c r="O107" s="18"/>
      <c r="P107" s="18"/>
      <c r="Q107" s="18"/>
      <c r="R107" s="18"/>
      <c r="S107" s="18"/>
      <c r="T107" s="18"/>
      <c r="U107" s="18"/>
      <c r="V107" s="18"/>
      <c r="W107" s="5"/>
      <c r="X107" s="2"/>
    </row>
    <row r="108" spans="1:24" ht="12.75" customHeight="1" x14ac:dyDescent="0.2">
      <c r="B108" s="19"/>
      <c r="C108" s="2"/>
      <c r="D108" s="2"/>
      <c r="E108" s="2"/>
      <c r="F108" s="2"/>
      <c r="G108" s="2"/>
      <c r="H108" s="2"/>
      <c r="I108" s="2"/>
      <c r="J108" s="2"/>
      <c r="K108" s="250" t="s">
        <v>200</v>
      </c>
      <c r="L108" s="2"/>
      <c r="N108" s="18"/>
      <c r="O108" s="18"/>
      <c r="P108" s="18"/>
      <c r="Q108" s="18"/>
      <c r="R108" s="18"/>
      <c r="S108" s="18"/>
      <c r="T108" s="18"/>
      <c r="U108" s="18"/>
      <c r="V108" s="18"/>
      <c r="W108" s="5"/>
      <c r="X108" s="2"/>
    </row>
    <row r="109" spans="1:24" ht="12.75" customHeight="1" x14ac:dyDescent="0.2">
      <c r="A109" s="110"/>
      <c r="B109" s="19"/>
      <c r="C109" s="2"/>
      <c r="D109" s="2"/>
      <c r="E109" s="2"/>
      <c r="F109" s="2"/>
      <c r="G109" s="2"/>
      <c r="H109" s="2"/>
      <c r="I109" s="2"/>
      <c r="J109" s="2"/>
      <c r="K109" s="251" t="s">
        <v>196</v>
      </c>
      <c r="L109" s="2"/>
      <c r="M109" s="110"/>
      <c r="N109" s="19"/>
      <c r="O109" s="2"/>
      <c r="P109" s="2"/>
      <c r="Q109" s="2"/>
      <c r="R109" s="2"/>
      <c r="S109" s="2"/>
      <c r="T109" s="2"/>
      <c r="U109" s="2"/>
      <c r="V109" s="2"/>
      <c r="W109" s="5"/>
      <c r="X109" s="2"/>
    </row>
    <row r="110" spans="1:24" ht="15.95" customHeight="1" x14ac:dyDescent="0.25">
      <c r="A110" s="11" t="str">
        <f>A4</f>
        <v>PacifiCorp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73"/>
      <c r="X110" s="2"/>
    </row>
    <row r="111" spans="1:24" ht="12.75" customHeight="1" x14ac:dyDescent="0.25">
      <c r="A111" s="194" t="s">
        <v>145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73"/>
      <c r="X111" s="2"/>
    </row>
    <row r="112" spans="1:24" ht="12.75" customHeight="1" x14ac:dyDescent="0.2">
      <c r="A112" s="130">
        <f ca="1">A6</f>
        <v>42885.407735185188</v>
      </c>
      <c r="B112" s="105"/>
      <c r="C112" s="12"/>
      <c r="D112" s="12"/>
      <c r="E112" s="12"/>
      <c r="F112" s="12"/>
      <c r="G112" s="12"/>
      <c r="H112" s="12"/>
      <c r="I112" s="12"/>
      <c r="J112" s="12"/>
      <c r="K112" s="13"/>
      <c r="L112" s="2"/>
    </row>
    <row r="113" spans="1:12" ht="12.75" customHeight="1" x14ac:dyDescent="0.2">
      <c r="B113" s="105"/>
      <c r="C113" s="10"/>
      <c r="D113" s="12"/>
      <c r="E113" s="12"/>
      <c r="F113" s="12"/>
      <c r="G113" s="12"/>
      <c r="H113" s="12"/>
      <c r="I113" s="12"/>
      <c r="J113" s="12"/>
      <c r="K113" s="13"/>
      <c r="L113" s="2"/>
    </row>
    <row r="114" spans="1:12" ht="12.75" customHeight="1" x14ac:dyDescent="0.2">
      <c r="A114" s="106"/>
      <c r="B114" s="105"/>
      <c r="C114" s="10"/>
      <c r="D114" s="10"/>
      <c r="E114" s="12"/>
      <c r="F114" s="12"/>
      <c r="G114" s="12"/>
      <c r="H114" s="12"/>
      <c r="I114" s="12"/>
      <c r="J114" s="12"/>
      <c r="K114" s="13"/>
      <c r="L114" s="2"/>
    </row>
    <row r="115" spans="1:12" ht="12.75" customHeight="1" x14ac:dyDescent="0.2">
      <c r="A115" s="110"/>
      <c r="B115" s="19"/>
      <c r="C115" s="10"/>
      <c r="D115" s="10"/>
      <c r="E115" s="12"/>
      <c r="F115" s="12"/>
      <c r="G115" s="12"/>
      <c r="H115" s="12"/>
      <c r="I115" s="12"/>
      <c r="J115" s="12"/>
      <c r="K115" s="13"/>
      <c r="L115" s="2"/>
    </row>
    <row r="116" spans="1:12" ht="12.75" customHeight="1" x14ac:dyDescent="0.2">
      <c r="A116" s="110"/>
      <c r="B116" s="19"/>
      <c r="C116" s="10"/>
      <c r="D116" s="10"/>
      <c r="E116" s="12"/>
      <c r="F116" s="12"/>
      <c r="G116" s="12"/>
      <c r="H116" s="12"/>
      <c r="I116" s="12"/>
      <c r="J116" s="12"/>
      <c r="K116" s="13"/>
      <c r="L116" s="2"/>
    </row>
    <row r="117" spans="1:12" ht="12.75" customHeight="1" x14ac:dyDescent="0.2">
      <c r="A117" s="110"/>
      <c r="B117" s="19"/>
      <c r="C117" s="2"/>
      <c r="D117" s="2"/>
      <c r="E117" s="2"/>
      <c r="F117" s="2"/>
      <c r="G117" s="2"/>
      <c r="H117" s="2"/>
      <c r="I117" s="2"/>
      <c r="J117" s="2"/>
      <c r="K117" s="99" t="s">
        <v>123</v>
      </c>
      <c r="L117" s="2"/>
    </row>
    <row r="118" spans="1:12" ht="12.75" customHeight="1" x14ac:dyDescent="0.2">
      <c r="B118" s="74" t="s">
        <v>122</v>
      </c>
      <c r="C118" s="14" t="s">
        <v>123</v>
      </c>
      <c r="D118" s="14" t="s">
        <v>123</v>
      </c>
      <c r="E118" s="14" t="s">
        <v>123</v>
      </c>
      <c r="F118" s="14" t="s">
        <v>123</v>
      </c>
      <c r="G118" s="14" t="s">
        <v>123</v>
      </c>
      <c r="H118" s="14" t="s">
        <v>123</v>
      </c>
      <c r="I118" s="14" t="s">
        <v>123</v>
      </c>
      <c r="J118" s="14" t="s">
        <v>123</v>
      </c>
      <c r="K118" s="99" t="s">
        <v>137</v>
      </c>
      <c r="L118" s="2"/>
    </row>
    <row r="119" spans="1:12" ht="12.75" customHeight="1" x14ac:dyDescent="0.2">
      <c r="A119" s="172" t="str">
        <f>Historical!A114</f>
        <v>Ratio Group And Name</v>
      </c>
      <c r="B119" s="98" t="s">
        <v>3</v>
      </c>
      <c r="C119" s="4">
        <f t="shared" ref="C119:J119" si="62">O77</f>
        <v>2017</v>
      </c>
      <c r="D119" s="4">
        <f t="shared" si="62"/>
        <v>2018</v>
      </c>
      <c r="E119" s="4">
        <f t="shared" si="62"/>
        <v>2019</v>
      </c>
      <c r="F119" s="4">
        <f t="shared" si="62"/>
        <v>2020</v>
      </c>
      <c r="G119" s="4">
        <f t="shared" si="62"/>
        <v>2021</v>
      </c>
      <c r="H119" s="4">
        <f t="shared" si="62"/>
        <v>2022</v>
      </c>
      <c r="I119" s="4">
        <f t="shared" si="62"/>
        <v>2023</v>
      </c>
      <c r="J119" s="4">
        <f t="shared" si="62"/>
        <v>2024</v>
      </c>
      <c r="K119" s="79" t="s">
        <v>3</v>
      </c>
      <c r="L119" s="2"/>
    </row>
    <row r="120" spans="1:12" ht="6.95" customHeight="1" x14ac:dyDescent="0.2">
      <c r="A120" s="234"/>
      <c r="B120" s="85"/>
      <c r="C120" s="22"/>
      <c r="D120" s="22"/>
      <c r="E120" s="22"/>
      <c r="F120" s="22"/>
      <c r="G120" s="22"/>
      <c r="H120" s="22"/>
      <c r="I120" s="22"/>
      <c r="J120" s="22"/>
      <c r="K120" s="80"/>
      <c r="L120" s="2"/>
    </row>
    <row r="121" spans="1:12" ht="12.75" customHeight="1" x14ac:dyDescent="0.2">
      <c r="A121" s="172" t="str">
        <f>Historical!A116</f>
        <v>Short-term Liquidity Ratios:</v>
      </c>
      <c r="B121" s="89"/>
      <c r="C121" s="8"/>
      <c r="D121" s="8"/>
      <c r="E121" s="8"/>
      <c r="F121" s="8"/>
      <c r="H121" s="2"/>
      <c r="I121" s="2"/>
      <c r="K121" s="8"/>
      <c r="L121" s="2"/>
    </row>
    <row r="122" spans="1:12" ht="12.75" customHeight="1" x14ac:dyDescent="0.2">
      <c r="A122" s="52" t="str">
        <f>Historical!A117</f>
        <v>Current</v>
      </c>
      <c r="B122" s="89">
        <f>Historical!T117</f>
        <v>1.1407160760316251</v>
      </c>
      <c r="C122" s="8">
        <f t="shared" ref="C122:J122" ca="1" si="63">C17/C48</f>
        <v>1.2180888799983567</v>
      </c>
      <c r="D122" s="8">
        <f t="shared" ca="1" si="63"/>
        <v>1.2211644589026216</v>
      </c>
      <c r="E122" s="8">
        <f t="shared" ca="1" si="63"/>
        <v>1.2194927539741651</v>
      </c>
      <c r="F122" s="8">
        <f t="shared" ca="1" si="63"/>
        <v>1.2260215144698763</v>
      </c>
      <c r="G122" s="8">
        <f t="shared" ca="1" si="63"/>
        <v>1.2326119134736522</v>
      </c>
      <c r="H122" s="8">
        <f t="shared" ca="1" si="63"/>
        <v>1.2391219043565951</v>
      </c>
      <c r="I122" s="8">
        <f t="shared" ca="1" si="63"/>
        <v>1.2455566762296248</v>
      </c>
      <c r="J122" s="8">
        <f t="shared" ca="1" si="63"/>
        <v>1.2674751179752817</v>
      </c>
      <c r="K122" s="8">
        <f ca="1">AVERAGE(C122:J122)</f>
        <v>1.2336916524225217</v>
      </c>
      <c r="L122" s="2"/>
    </row>
    <row r="123" spans="1:12" ht="12.75" customHeight="1" x14ac:dyDescent="0.2">
      <c r="A123" s="52" t="str">
        <f>Historical!A118</f>
        <v>Quick</v>
      </c>
      <c r="B123" s="89">
        <f>Historical!T118</f>
        <v>0.5886262559097486</v>
      </c>
      <c r="C123" s="8">
        <f t="shared" ref="C123:J123" ca="1" si="64">SUM(C12:C14)/C48</f>
        <v>0.63077995480314586</v>
      </c>
      <c r="D123" s="8">
        <f t="shared" ca="1" si="64"/>
        <v>0.63073911680823314</v>
      </c>
      <c r="E123" s="8">
        <f t="shared" ca="1" si="64"/>
        <v>0.62695591192894007</v>
      </c>
      <c r="F123" s="8">
        <f t="shared" ca="1" si="64"/>
        <v>0.63448499673262215</v>
      </c>
      <c r="G123" s="8">
        <f t="shared" ca="1" si="64"/>
        <v>0.64072873157312527</v>
      </c>
      <c r="H123" s="8">
        <f t="shared" ca="1" si="64"/>
        <v>0.6469747906149067</v>
      </c>
      <c r="I123" s="8">
        <f t="shared" ca="1" si="64"/>
        <v>0.65322585399402011</v>
      </c>
      <c r="J123" s="8">
        <f t="shared" ca="1" si="64"/>
        <v>0.67198650913558911</v>
      </c>
      <c r="K123" s="8">
        <f ca="1">AVERAGE(C123:J123)</f>
        <v>0.64198448319882284</v>
      </c>
      <c r="L123" s="2"/>
    </row>
    <row r="124" spans="1:12" ht="12.75" customHeight="1" x14ac:dyDescent="0.2">
      <c r="A124" s="52" t="str">
        <f>Historical!A119</f>
        <v>Days Revenues Cash</v>
      </c>
      <c r="B124" s="89">
        <f>Historical!T119</f>
        <v>3.0821994956708969</v>
      </c>
      <c r="C124" s="158">
        <f ca="1">((C80/365)/((B12+B13+C12+C13)/2))^-1</f>
        <v>1.190813209800696</v>
      </c>
      <c r="D124" s="158">
        <f t="shared" ref="D124:J124" ca="1" si="65">((D80/365)/((C12+C13+D12+D13)/2))^-1</f>
        <v>1.2019345983931544</v>
      </c>
      <c r="E124" s="158">
        <f t="shared" ca="1" si="65"/>
        <v>1.2019345983931544</v>
      </c>
      <c r="F124" s="158">
        <f t="shared" ca="1" si="65"/>
        <v>1.191395091641773</v>
      </c>
      <c r="G124" s="158">
        <f t="shared" ca="1" si="65"/>
        <v>1.1945135268825133</v>
      </c>
      <c r="H124" s="158">
        <f t="shared" ca="1" si="65"/>
        <v>1.1945135268825129</v>
      </c>
      <c r="I124" s="158">
        <f t="shared" ca="1" si="65"/>
        <v>1.1945135268825131</v>
      </c>
      <c r="J124" s="158">
        <f t="shared" ca="1" si="65"/>
        <v>1.1945135268825129</v>
      </c>
      <c r="K124" s="8">
        <f ca="1">AVERAGE(C124:J124)</f>
        <v>1.1955164507198539</v>
      </c>
      <c r="L124" s="2"/>
    </row>
    <row r="125" spans="1:12" ht="12.75" customHeight="1" x14ac:dyDescent="0.2">
      <c r="A125" s="52" t="str">
        <f>Historical!A120</f>
        <v>Days Revenues Receivable</v>
      </c>
      <c r="B125" s="89">
        <f>Historical!T120</f>
        <v>50.659919944369555</v>
      </c>
      <c r="C125" s="8">
        <f t="shared" ref="C125:J125" si="66">365*(((B14+C14)/2)/((B80+C80)/2))</f>
        <v>50.895632447860407</v>
      </c>
      <c r="D125" s="8">
        <f t="shared" si="66"/>
        <v>50.704507468888359</v>
      </c>
      <c r="E125" s="8">
        <f t="shared" si="66"/>
        <v>50.704507468888359</v>
      </c>
      <c r="F125" s="8">
        <f t="shared" si="66"/>
        <v>50.704507468888359</v>
      </c>
      <c r="G125" s="8">
        <f t="shared" si="66"/>
        <v>50.704507468888366</v>
      </c>
      <c r="H125" s="8">
        <f t="shared" si="66"/>
        <v>50.704507468888359</v>
      </c>
      <c r="I125" s="8">
        <f t="shared" si="66"/>
        <v>50.704507468888359</v>
      </c>
      <c r="J125" s="8">
        <f t="shared" si="66"/>
        <v>50.704507468888359</v>
      </c>
      <c r="K125" s="8">
        <f>AVERAGE(C125:J125)</f>
        <v>50.728398091259869</v>
      </c>
      <c r="L125" s="2"/>
    </row>
    <row r="126" spans="1:12" ht="6.95" customHeight="1" x14ac:dyDescent="0.2">
      <c r="B126" s="89"/>
      <c r="C126" s="8"/>
      <c r="D126" s="8"/>
      <c r="E126" s="8"/>
      <c r="F126" s="8"/>
      <c r="G126" s="8"/>
      <c r="H126" s="8"/>
      <c r="I126" s="81"/>
      <c r="J126" s="81"/>
      <c r="K126" s="8"/>
      <c r="L126" s="2"/>
    </row>
    <row r="127" spans="1:12" ht="12.75" customHeight="1" x14ac:dyDescent="0.2">
      <c r="A127" s="172" t="str">
        <f>Historical!A122</f>
        <v>Long-term Solvency Ratios:</v>
      </c>
      <c r="B127" s="89"/>
      <c r="C127" s="8"/>
      <c r="D127" s="8"/>
      <c r="E127" s="8"/>
      <c r="F127" s="8"/>
      <c r="G127" s="8"/>
      <c r="H127" s="8"/>
      <c r="I127" s="81"/>
      <c r="J127" s="81"/>
      <c r="K127" s="8"/>
      <c r="L127" s="2"/>
    </row>
    <row r="128" spans="1:12" ht="12.75" customHeight="1" x14ac:dyDescent="0.2">
      <c r="A128" s="52" t="str">
        <f>Historical!A123</f>
        <v>Net Worth/Total Debt</v>
      </c>
      <c r="B128" s="89">
        <f>Historical!T123</f>
        <v>0.52697305713773757</v>
      </c>
      <c r="C128" s="8">
        <f t="shared" ref="C128:J128" ca="1" si="67">C64/(C57+C59)</f>
        <v>0.48637950189192725</v>
      </c>
      <c r="D128" s="8">
        <f t="shared" ca="1" si="67"/>
        <v>0.48156099336228247</v>
      </c>
      <c r="E128" s="8">
        <f t="shared" ca="1" si="67"/>
        <v>0.4646788077282924</v>
      </c>
      <c r="F128" s="8">
        <f t="shared" ca="1" si="67"/>
        <v>0.46080553295702337</v>
      </c>
      <c r="G128" s="8">
        <f t="shared" ca="1" si="67"/>
        <v>0.46032641386300116</v>
      </c>
      <c r="H128" s="8">
        <f t="shared" ca="1" si="67"/>
        <v>0.46179295656139918</v>
      </c>
      <c r="I128" s="8">
        <f t="shared" ca="1" si="67"/>
        <v>0.46527912419464457</v>
      </c>
      <c r="J128" s="8">
        <f t="shared" ca="1" si="67"/>
        <v>0.50014117559856786</v>
      </c>
      <c r="K128" s="8">
        <f ca="1">AVERAGE(C128:J128)</f>
        <v>0.4726205632696423</v>
      </c>
      <c r="L128" s="2"/>
    </row>
    <row r="129" spans="1:12" ht="12.75" customHeight="1" x14ac:dyDescent="0.2">
      <c r="A129" s="52" t="str">
        <f>Historical!A124</f>
        <v>Net Worth/Non Current Debt</v>
      </c>
      <c r="B129" s="89">
        <f>Historical!T124</f>
        <v>0.5799336468023647</v>
      </c>
      <c r="C129" s="8">
        <f t="shared" ref="C129:J129" ca="1" si="68">C64/(C55+C59)</f>
        <v>0.52722023040078936</v>
      </c>
      <c r="D129" s="8">
        <f t="shared" ca="1" si="68"/>
        <v>0.52153089438412503</v>
      </c>
      <c r="E129" s="8">
        <f t="shared" ca="1" si="68"/>
        <v>0.50223066924146442</v>
      </c>
      <c r="F129" s="8">
        <f t="shared" ca="1" si="68"/>
        <v>0.49800384067476222</v>
      </c>
      <c r="G129" s="8">
        <f t="shared" ca="1" si="68"/>
        <v>0.49750991661208677</v>
      </c>
      <c r="H129" s="8">
        <f t="shared" ca="1" si="68"/>
        <v>0.49918196085320571</v>
      </c>
      <c r="I129" s="8">
        <f t="shared" ca="1" si="68"/>
        <v>0.50310397889736802</v>
      </c>
      <c r="J129" s="8">
        <f t="shared" ca="1" si="68"/>
        <v>0.54282120246079013</v>
      </c>
      <c r="K129" s="8">
        <f ca="1">AVERAGE(C129:J129)</f>
        <v>0.51145033669057394</v>
      </c>
      <c r="L129" s="2"/>
    </row>
    <row r="130" spans="1:12" ht="12.75" customHeight="1" x14ac:dyDescent="0.2">
      <c r="A130" s="52" t="str">
        <f>Historical!A125</f>
        <v>Net Worth/Fixed Assets</v>
      </c>
      <c r="B130" s="89">
        <f>Historical!T125</f>
        <v>0.40904039083445182</v>
      </c>
      <c r="C130" s="8">
        <f t="shared" ref="C130:J130" ca="1" si="69">C64/C28</f>
        <v>0.38397221010756832</v>
      </c>
      <c r="D130" s="8">
        <f t="shared" ca="1" si="69"/>
        <v>0.38141433058082236</v>
      </c>
      <c r="E130" s="8">
        <f t="shared" ca="1" si="69"/>
        <v>0.37168761842393921</v>
      </c>
      <c r="F130" s="8">
        <f t="shared" ca="1" si="69"/>
        <v>0.36999612691490219</v>
      </c>
      <c r="G130" s="8">
        <f t="shared" ca="1" si="69"/>
        <v>0.37021908084506627</v>
      </c>
      <c r="H130" s="8">
        <f t="shared" ca="1" si="69"/>
        <v>0.37152702163058093</v>
      </c>
      <c r="I130" s="8">
        <f t="shared" ca="1" si="69"/>
        <v>0.37395911060656745</v>
      </c>
      <c r="J130" s="8">
        <f t="shared" ca="1" si="69"/>
        <v>0.37836978521619852</v>
      </c>
      <c r="K130" s="8">
        <f ca="1">AVERAGE(C130:J130)</f>
        <v>0.37514316054070568</v>
      </c>
      <c r="L130" s="2"/>
    </row>
    <row r="131" spans="1:12" ht="12.75" customHeight="1" x14ac:dyDescent="0.2">
      <c r="A131" s="52" t="str">
        <f>Historical!A126</f>
        <v>Times Interest Earned</v>
      </c>
      <c r="B131" s="89">
        <f>Historical!T126</f>
        <v>3.6135499317522068</v>
      </c>
      <c r="C131" s="8">
        <f ca="1">(C98+C91+C94)/(C91+C94)</f>
        <v>4.0369172224586451</v>
      </c>
      <c r="D131" s="8">
        <f t="shared" ref="D131:J131" ca="1" si="70">(D98+D91+D94)/(D91+D94)</f>
        <v>3.9187125246218981</v>
      </c>
      <c r="E131" s="8">
        <f t="shared" ca="1" si="70"/>
        <v>3.6238329140583336</v>
      </c>
      <c r="F131" s="8">
        <f t="shared" ca="1" si="70"/>
        <v>3.6400110387962226</v>
      </c>
      <c r="G131" s="8">
        <f t="shared" ca="1" si="70"/>
        <v>3.6577761068784973</v>
      </c>
      <c r="H131" s="8">
        <f t="shared" ca="1" si="70"/>
        <v>3.6970251095130413</v>
      </c>
      <c r="I131" s="8">
        <f t="shared" ca="1" si="70"/>
        <v>3.7496869987107946</v>
      </c>
      <c r="J131" s="8">
        <f t="shared" ca="1" si="70"/>
        <v>4.0553136130427543</v>
      </c>
      <c r="K131" s="8">
        <f ca="1">AVERAGE(C131:J131)</f>
        <v>3.7974094410100232</v>
      </c>
      <c r="L131" s="2"/>
    </row>
    <row r="132" spans="1:12" ht="12.75" customHeight="1" x14ac:dyDescent="0.2">
      <c r="A132" s="52" t="str">
        <f>Historical!A127</f>
        <v>Times Interest Earned plus Depr.</v>
      </c>
      <c r="B132" s="89">
        <f>Historical!T127</f>
        <v>5.55924539766609</v>
      </c>
      <c r="C132" s="8">
        <f ca="1">(C98+C91+C94+C85)/(C91+C94)</f>
        <v>6.1581964446588566</v>
      </c>
      <c r="D132" s="8">
        <f t="shared" ref="D132:J132" ca="1" si="71">(D98+D91+D94+D85)/(D91+D94)</f>
        <v>6.0110128828415013</v>
      </c>
      <c r="E132" s="8">
        <f t="shared" ca="1" si="71"/>
        <v>5.7030440911654754</v>
      </c>
      <c r="F132" s="8">
        <f t="shared" ca="1" si="71"/>
        <v>5.6638548727996785</v>
      </c>
      <c r="G132" s="8">
        <f t="shared" ca="1" si="71"/>
        <v>5.6745983058148948</v>
      </c>
      <c r="H132" s="8">
        <f t="shared" ca="1" si="71"/>
        <v>5.7186025203367334</v>
      </c>
      <c r="I132" s="8">
        <f t="shared" ca="1" si="71"/>
        <v>5.7831272739113562</v>
      </c>
      <c r="J132" s="8">
        <f t="shared" ca="1" si="71"/>
        <v>6.2363857262594919</v>
      </c>
      <c r="K132" s="8">
        <f ca="1">AVERAGE(C132:J132)</f>
        <v>5.868602764723498</v>
      </c>
      <c r="L132" s="2"/>
    </row>
    <row r="133" spans="1:12" ht="6.95" customHeight="1" x14ac:dyDescent="0.2">
      <c r="B133" s="89"/>
      <c r="C133" s="8"/>
      <c r="D133" s="8"/>
      <c r="E133" s="8"/>
      <c r="F133" s="8"/>
      <c r="G133" s="8"/>
      <c r="H133" s="8"/>
      <c r="I133" s="81"/>
      <c r="J133" s="81"/>
      <c r="K133" s="8"/>
      <c r="L133" s="2"/>
    </row>
    <row r="134" spans="1:12" ht="12.75" customHeight="1" x14ac:dyDescent="0.2">
      <c r="A134" s="172" t="str">
        <f>Historical!A129</f>
        <v>Profitability Ratios:</v>
      </c>
      <c r="B134" s="89"/>
      <c r="C134" s="8"/>
      <c r="D134" s="8"/>
      <c r="E134" s="8"/>
      <c r="F134" s="8"/>
      <c r="G134" s="8"/>
      <c r="H134" s="8"/>
      <c r="I134" s="81"/>
      <c r="J134" s="81"/>
      <c r="K134" s="8"/>
      <c r="L134" s="2"/>
    </row>
    <row r="135" spans="1:12" ht="12.75" customHeight="1" x14ac:dyDescent="0.2">
      <c r="A135" s="52" t="str">
        <f>Historical!A130</f>
        <v>Return On Total Assets</v>
      </c>
      <c r="B135" s="90">
        <f>Historical!T130</f>
        <v>4.1768021151915934E-2</v>
      </c>
      <c r="C135" s="5">
        <f ca="1">(C102+((C91+C94)*(1-(C101/C98))))/((B38+C38)/2)</f>
        <v>4.5316224220011088E-2</v>
      </c>
      <c r="D135" s="5">
        <f t="shared" ref="D135:J135" ca="1" si="72">(D102+((D91+D94)*(1-(D101/D98))))/((C38+D38)/2)</f>
        <v>4.4494666447946127E-2</v>
      </c>
      <c r="E135" s="5">
        <f t="shared" ca="1" si="72"/>
        <v>4.2086818194886778E-2</v>
      </c>
      <c r="F135" s="5">
        <f t="shared" ca="1" si="72"/>
        <v>4.3123530743402055E-2</v>
      </c>
      <c r="G135" s="5">
        <f t="shared" ca="1" si="72"/>
        <v>4.3550998025676767E-2</v>
      </c>
      <c r="H135" s="5">
        <f t="shared" ca="1" si="72"/>
        <v>4.4037080089828477E-2</v>
      </c>
      <c r="I135" s="5">
        <f t="shared" ca="1" si="72"/>
        <v>4.4532923155606308E-2</v>
      </c>
      <c r="J135" s="5">
        <f t="shared" ca="1" si="72"/>
        <v>4.5910647973587182E-2</v>
      </c>
      <c r="K135" s="5">
        <f ca="1">AVERAGE(C135:J135)</f>
        <v>4.4131611106368096E-2</v>
      </c>
      <c r="L135" s="2"/>
    </row>
    <row r="136" spans="1:12" ht="12.75" customHeight="1" x14ac:dyDescent="0.2">
      <c r="A136" s="52" t="str">
        <f>Historical!A131</f>
        <v>Return On Total Capital</v>
      </c>
      <c r="B136" s="90">
        <f>Historical!T131</f>
        <v>6.2393805111569785E-2</v>
      </c>
      <c r="C136" s="5">
        <f ca="1">(C102+((C91+C94)*(1-(C101/C98))))/((B42+B43+B50+B54+B59+B64+C42+C43+C50+C54+C59+C64)/2)</f>
        <v>6.9016219820438054E-2</v>
      </c>
      <c r="D136" s="5">
        <f t="shared" ref="D136:J136" ca="1" si="73">(D102+((D91+D92+D93)*(1-(D101/D98))))/((C42+C43+C50+C54+C59+C64+D42+D43+D50+D54+D59+D64)/2)</f>
        <v>6.6487840781886937E-2</v>
      </c>
      <c r="E136" s="5">
        <f t="shared" ca="1" si="73"/>
        <v>6.1634853138377105E-2</v>
      </c>
      <c r="F136" s="5">
        <f t="shared" ca="1" si="73"/>
        <v>6.2151654504614302E-2</v>
      </c>
      <c r="G136" s="5">
        <f t="shared" ca="1" si="73"/>
        <v>6.2154808298431868E-2</v>
      </c>
      <c r="H136" s="5">
        <f t="shared" ca="1" si="73"/>
        <v>6.2364261944047754E-2</v>
      </c>
      <c r="I136" s="5">
        <f t="shared" ca="1" si="73"/>
        <v>6.2670669770451048E-2</v>
      </c>
      <c r="J136" s="5">
        <f t="shared" ca="1" si="73"/>
        <v>6.5835544915462813E-2</v>
      </c>
      <c r="K136" s="5">
        <f ca="1">AVERAGE(C136:J136)</f>
        <v>6.4039481646713733E-2</v>
      </c>
      <c r="L136" s="2"/>
    </row>
    <row r="137" spans="1:12" ht="12.75" customHeight="1" x14ac:dyDescent="0.2">
      <c r="A137" s="52" t="str">
        <f>Historical!A132</f>
        <v>Return On Common Equity</v>
      </c>
      <c r="B137" s="90">
        <f>Historical!T132</f>
        <v>8.6633481263741596E-2</v>
      </c>
      <c r="C137" s="5">
        <f t="shared" ref="C137:J137" ca="1" si="74">(C102-C104)/((C64+B64)/2)</f>
        <v>0.10374324800101473</v>
      </c>
      <c r="D137" s="5">
        <f t="shared" ca="1" si="74"/>
        <v>0.10160294150934589</v>
      </c>
      <c r="E137" s="5">
        <f t="shared" ca="1" si="74"/>
        <v>9.4889459080874622E-2</v>
      </c>
      <c r="F137" s="5">
        <f t="shared" ca="1" si="74"/>
        <v>9.885201815885257E-2</v>
      </c>
      <c r="G137" s="5">
        <f t="shared" ca="1" si="74"/>
        <v>0.10033671838883973</v>
      </c>
      <c r="H137" s="5">
        <f t="shared" ca="1" si="74"/>
        <v>0.10178686058481148</v>
      </c>
      <c r="I137" s="5">
        <f t="shared" ca="1" si="74"/>
        <v>0.10309054287125954</v>
      </c>
      <c r="J137" s="5">
        <f t="shared" ca="1" si="74"/>
        <v>0.10629399727459821</v>
      </c>
      <c r="K137" s="5">
        <f ca="1">AVERAGE(C137:J137)</f>
        <v>0.10132447323369959</v>
      </c>
      <c r="L137" s="2"/>
    </row>
    <row r="138" spans="1:12" ht="6.95" customHeight="1" x14ac:dyDescent="0.2">
      <c r="B138" s="89"/>
      <c r="C138" s="8"/>
      <c r="D138" s="8"/>
      <c r="E138" s="8"/>
      <c r="F138" s="8"/>
      <c r="G138" s="8"/>
      <c r="H138" s="8"/>
      <c r="I138" s="81"/>
      <c r="J138" s="81"/>
      <c r="K138" s="8"/>
      <c r="L138" s="2"/>
    </row>
    <row r="139" spans="1:12" ht="12.75" customHeight="1" x14ac:dyDescent="0.2">
      <c r="A139" s="172" t="str">
        <f>Historical!A134</f>
        <v>Asset-Utilization Ratios:</v>
      </c>
      <c r="B139" s="89"/>
      <c r="C139" s="8"/>
      <c r="D139" s="8"/>
      <c r="E139" s="8"/>
      <c r="F139" s="8"/>
      <c r="G139" s="8"/>
      <c r="H139" s="8"/>
      <c r="I139" s="81"/>
      <c r="J139" s="81"/>
      <c r="K139" s="8"/>
      <c r="L139" s="2"/>
    </row>
    <row r="140" spans="1:12" ht="12.75" customHeight="1" x14ac:dyDescent="0.2">
      <c r="A140" s="52" t="str">
        <f>Historical!A135</f>
        <v>Revenues/Fixed Assets</v>
      </c>
      <c r="B140" s="89">
        <f>Historical!T135</f>
        <v>0.27701634848542284</v>
      </c>
      <c r="C140" s="8">
        <f t="shared" ref="C140:J140" si="75">C80/((B28+C28)/2)</f>
        <v>0.27372147169400662</v>
      </c>
      <c r="D140" s="8">
        <f t="shared" si="75"/>
        <v>0.27190166817748224</v>
      </c>
      <c r="E140" s="8">
        <f t="shared" si="75"/>
        <v>0.2680502770276067</v>
      </c>
      <c r="F140" s="8">
        <f t="shared" si="75"/>
        <v>0.26965095539782619</v>
      </c>
      <c r="G140" s="8">
        <f t="shared" si="75"/>
        <v>0.27256327715557127</v>
      </c>
      <c r="H140" s="8">
        <f t="shared" si="75"/>
        <v>0.27588599645350587</v>
      </c>
      <c r="I140" s="8">
        <f t="shared" si="75"/>
        <v>0.27929862360056701</v>
      </c>
      <c r="J140" s="8">
        <f t="shared" si="75"/>
        <v>0.28280523883879533</v>
      </c>
      <c r="K140" s="101">
        <f>AVERAGE(C140:J140)</f>
        <v>0.27423468854317012</v>
      </c>
      <c r="L140" s="2"/>
    </row>
    <row r="141" spans="1:12" ht="12.75" customHeight="1" x14ac:dyDescent="0.2">
      <c r="A141" s="52" t="str">
        <f>Historical!A136</f>
        <v>Revenues/Total Assets</v>
      </c>
      <c r="B141" s="89">
        <f>Historical!T136</f>
        <v>0.232847581271062</v>
      </c>
      <c r="C141" s="8">
        <f ca="1">C80/((B38+C38)/2)</f>
        <v>0.23373682716352751</v>
      </c>
      <c r="D141" s="8">
        <f t="shared" ref="D141:J141" ca="1" si="76">D80/((C38+D38)/2)</f>
        <v>0.23171365785958903</v>
      </c>
      <c r="E141" s="8">
        <f t="shared" ca="1" si="76"/>
        <v>0.22861494374402053</v>
      </c>
      <c r="F141" s="8">
        <f t="shared" ca="1" si="76"/>
        <v>0.2300268954856251</v>
      </c>
      <c r="G141" s="8">
        <f t="shared" ca="1" si="76"/>
        <v>0.23222329728801022</v>
      </c>
      <c r="H141" s="8">
        <f t="shared" ca="1" si="76"/>
        <v>0.23474087313500927</v>
      </c>
      <c r="I141" s="8">
        <f t="shared" ca="1" si="76"/>
        <v>0.23731916679519366</v>
      </c>
      <c r="J141" s="8">
        <f t="shared" ca="1" si="76"/>
        <v>0.24460492632995809</v>
      </c>
      <c r="K141" s="101">
        <f ca="1">AVERAGE(C141:J141)</f>
        <v>0.2341225734751167</v>
      </c>
      <c r="L141" s="2"/>
    </row>
    <row r="142" spans="1:12" ht="6.95" customHeight="1" x14ac:dyDescent="0.2">
      <c r="B142" s="89"/>
      <c r="C142" s="2"/>
      <c r="D142" s="2"/>
      <c r="E142" s="2"/>
      <c r="F142" s="2"/>
      <c r="G142" s="2"/>
      <c r="H142" s="2"/>
      <c r="I142" s="2"/>
      <c r="J142" s="2"/>
      <c r="K142" s="5"/>
      <c r="L142" s="2"/>
    </row>
    <row r="143" spans="1:12" ht="12.75" customHeight="1" x14ac:dyDescent="0.2">
      <c r="A143" s="172" t="str">
        <f>Historical!A138</f>
        <v>Regulatory Capital Structure</v>
      </c>
      <c r="B143" s="89"/>
      <c r="C143" s="2"/>
      <c r="D143" s="2"/>
      <c r="E143" s="2"/>
      <c r="F143" s="2"/>
      <c r="G143" s="2"/>
      <c r="H143" s="2"/>
      <c r="I143" s="2"/>
      <c r="J143" s="2"/>
      <c r="K143" s="5"/>
      <c r="L143" s="2"/>
    </row>
    <row r="144" spans="1:12" ht="12.75" customHeight="1" x14ac:dyDescent="0.2">
      <c r="A144" s="52" t="str">
        <f>Historical!A139</f>
        <v>Common Equity</v>
      </c>
      <c r="B144" s="90">
        <f>Historical!T139</f>
        <v>0.52335266845740769</v>
      </c>
      <c r="C144" s="133">
        <f t="shared" ref="C144:J144" ca="1" si="77">C64/C$148</f>
        <v>0.5015189506678347</v>
      </c>
      <c r="D144" s="133">
        <f t="shared" ca="1" si="77"/>
        <v>0.49804210027014073</v>
      </c>
      <c r="E144" s="133">
        <f t="shared" ca="1" si="77"/>
        <v>0.48608767614874243</v>
      </c>
      <c r="F144" s="133">
        <f t="shared" ca="1" si="77"/>
        <v>0.48333292731428346</v>
      </c>
      <c r="G144" s="133">
        <f t="shared" ca="1" si="77"/>
        <v>0.48294197418071755</v>
      </c>
      <c r="H144" s="133">
        <f t="shared" ca="1" si="77"/>
        <v>0.48394624550125287</v>
      </c>
      <c r="I144" s="133">
        <f t="shared" ca="1" si="77"/>
        <v>0.48638965006377566</v>
      </c>
      <c r="J144" s="133">
        <f t="shared" ca="1" si="77"/>
        <v>0.51801091465860516</v>
      </c>
      <c r="K144" s="5">
        <f ca="1">AVERAGE(C144:J144)</f>
        <v>0.49253380485066905</v>
      </c>
      <c r="L144" s="2"/>
    </row>
    <row r="145" spans="1:12" ht="12.75" customHeight="1" x14ac:dyDescent="0.2">
      <c r="A145" s="52" t="str">
        <f>Historical!A140</f>
        <v>Preferred Stock</v>
      </c>
      <c r="B145" s="90">
        <f>Historical!T140</f>
        <v>1.0674236119828429E-3</v>
      </c>
      <c r="C145" s="133">
        <f t="shared" ref="C145:J145" ca="1" si="78">C59/C$148</f>
        <v>1.3382750303652941E-4</v>
      </c>
      <c r="D145" s="133">
        <f t="shared" ca="1" si="78"/>
        <v>1.3112088678324217E-4</v>
      </c>
      <c r="E145" s="133">
        <f t="shared" ca="1" si="78"/>
        <v>1.2699354434743637E-4</v>
      </c>
      <c r="F145" s="133">
        <f t="shared" ca="1" si="78"/>
        <v>1.2487114244316827E-4</v>
      </c>
      <c r="G145" s="133">
        <f t="shared" ca="1" si="78"/>
        <v>1.2306733395163033E-4</v>
      </c>
      <c r="H145" s="133">
        <f t="shared" ca="1" si="78"/>
        <v>1.2130609273685354E-4</v>
      </c>
      <c r="I145" s="133">
        <f t="shared" ca="1" si="78"/>
        <v>1.1958686945383342E-4</v>
      </c>
      <c r="J145" s="133">
        <f t="shared" ca="1" si="78"/>
        <v>1.243008311451207E-4</v>
      </c>
      <c r="K145" s="5">
        <f ca="1">AVERAGE(C145:J145)</f>
        <v>1.2563427548722676E-4</v>
      </c>
      <c r="L145" s="2"/>
    </row>
    <row r="146" spans="1:12" ht="12.75" customHeight="1" x14ac:dyDescent="0.2">
      <c r="A146" s="52" t="str">
        <f>Historical!A141</f>
        <v>Long Term Debt (incl. current portion)</v>
      </c>
      <c r="B146" s="90">
        <f>Historical!T141</f>
        <v>0.4755799079306095</v>
      </c>
      <c r="C146" s="160">
        <f t="shared" ref="C146:J146" ca="1" si="79">(C42+C50+C54)/C$148</f>
        <v>0.49834732410452509</v>
      </c>
      <c r="D146" s="160">
        <f t="shared" ca="1" si="79"/>
        <v>0.50182700748932418</v>
      </c>
      <c r="E146" s="160">
        <f t="shared" ca="1" si="79"/>
        <v>0.51378577501801159</v>
      </c>
      <c r="F146" s="160">
        <f t="shared" ca="1" si="79"/>
        <v>0.51654286316561226</v>
      </c>
      <c r="G146" s="160">
        <f t="shared" ca="1" si="79"/>
        <v>0.51693587199124558</v>
      </c>
      <c r="H146" s="160">
        <f t="shared" ca="1" si="79"/>
        <v>0.51593365611051534</v>
      </c>
      <c r="I146" s="160">
        <f t="shared" ca="1" si="79"/>
        <v>0.51349230974356885</v>
      </c>
      <c r="J146" s="160">
        <f t="shared" ca="1" si="79"/>
        <v>0.48186667794563404</v>
      </c>
      <c r="K146" s="102">
        <f ca="1">AVERAGE(C146:J146)</f>
        <v>0.50734143569605461</v>
      </c>
      <c r="L146" s="2"/>
    </row>
    <row r="147" spans="1:12" ht="7.5" customHeight="1" x14ac:dyDescent="0.2">
      <c r="B147" s="18"/>
      <c r="C147" s="252"/>
      <c r="D147" s="252"/>
      <c r="E147" s="252"/>
      <c r="F147" s="252"/>
      <c r="G147" s="252"/>
      <c r="H147" s="252"/>
      <c r="I147" s="252"/>
      <c r="J147" s="252"/>
      <c r="K147" s="290"/>
      <c r="L147" s="2"/>
    </row>
    <row r="148" spans="1:12" ht="12.75" customHeight="1" x14ac:dyDescent="0.2">
      <c r="A148" s="2" t="s">
        <v>232</v>
      </c>
      <c r="B148" s="109"/>
      <c r="C148" s="132">
        <f t="shared" ref="C148:J148" ca="1" si="80">C42+C50+C54+C59+C64</f>
        <v>14944.612722878606</v>
      </c>
      <c r="D148" s="132">
        <f t="shared" ca="1" si="80"/>
        <v>15253.103501341673</v>
      </c>
      <c r="E148" s="132">
        <f t="shared" ca="1" si="80"/>
        <v>15748.839042955471</v>
      </c>
      <c r="F148" s="132">
        <f t="shared" ca="1" si="80"/>
        <v>16016.521384473794</v>
      </c>
      <c r="G148" s="132">
        <f t="shared" ca="1" si="80"/>
        <v>16251.281008475398</v>
      </c>
      <c r="H148" s="132">
        <f t="shared" ca="1" si="80"/>
        <v>16487.237947293946</v>
      </c>
      <c r="I148" s="132">
        <f t="shared" ca="1" si="80"/>
        <v>16724.270001278855</v>
      </c>
      <c r="J148" s="132">
        <f t="shared" ca="1" si="80"/>
        <v>16090.027463579647</v>
      </c>
      <c r="K148" s="18"/>
      <c r="L148" s="2"/>
    </row>
    <row r="149" spans="1:12" x14ac:dyDescent="0.2">
      <c r="E149" s="2"/>
      <c r="F149" s="2"/>
      <c r="G149" s="2"/>
      <c r="H149" s="2"/>
      <c r="I149" s="2"/>
      <c r="J149" s="2"/>
      <c r="K149" s="5"/>
      <c r="L149" s="2"/>
    </row>
    <row r="150" spans="1:12" x14ac:dyDescent="0.2">
      <c r="C150" s="55">
        <f ca="1">SUM(C144:C146)</f>
        <v>1.0000001022753962</v>
      </c>
      <c r="D150" s="55">
        <f t="shared" ref="D150:J150" ca="1" si="81">SUM(D144:D146)</f>
        <v>1.0000002286462482</v>
      </c>
      <c r="E150" s="55">
        <f t="shared" ca="1" si="81"/>
        <v>1.0000004447111015</v>
      </c>
      <c r="F150" s="55">
        <f t="shared" ca="1" si="81"/>
        <v>1.0000006616223389</v>
      </c>
      <c r="G150" s="55">
        <f t="shared" ca="1" si="81"/>
        <v>1.0000009135059147</v>
      </c>
      <c r="H150" s="55">
        <f t="shared" ca="1" si="81"/>
        <v>1.0000012077045051</v>
      </c>
      <c r="I150" s="55">
        <f t="shared" ca="1" si="81"/>
        <v>1.0000015466767984</v>
      </c>
      <c r="J150" s="55">
        <f t="shared" ca="1" si="81"/>
        <v>1.0000018934353843</v>
      </c>
      <c r="K150" s="55">
        <f ca="1">SUM(K144:K146)</f>
        <v>1.0000008748222109</v>
      </c>
      <c r="L150" s="2"/>
    </row>
    <row r="151" spans="1:12" x14ac:dyDescent="0.2">
      <c r="E151" s="2"/>
      <c r="F151" s="2"/>
      <c r="G151" s="2"/>
      <c r="H151" s="2"/>
      <c r="I151" s="2"/>
      <c r="J151" s="2"/>
      <c r="K151" s="5"/>
      <c r="L151" s="2"/>
    </row>
    <row r="152" spans="1:12" x14ac:dyDescent="0.2">
      <c r="B152" s="19"/>
      <c r="E152" s="2"/>
      <c r="F152" s="2"/>
      <c r="G152" s="2"/>
      <c r="H152" s="2"/>
      <c r="I152" s="2"/>
      <c r="J152" s="2"/>
      <c r="K152" s="5"/>
      <c r="L152" s="2"/>
    </row>
    <row r="153" spans="1:12" x14ac:dyDescent="0.2">
      <c r="A153" s="52" t="s">
        <v>146</v>
      </c>
      <c r="B153" s="19"/>
      <c r="E153" s="2"/>
      <c r="F153" s="2"/>
      <c r="G153" s="2"/>
      <c r="H153" s="2"/>
      <c r="I153" s="2"/>
      <c r="J153" s="2"/>
      <c r="K153" s="5"/>
      <c r="L153" s="2"/>
    </row>
    <row r="154" spans="1:12" x14ac:dyDescent="0.2">
      <c r="A154" s="234"/>
      <c r="B154" s="20" t="s">
        <v>126</v>
      </c>
      <c r="C154" s="20" t="s">
        <v>127</v>
      </c>
      <c r="D154" s="20"/>
      <c r="E154" s="20"/>
      <c r="F154" s="2"/>
      <c r="G154" s="2"/>
      <c r="H154" s="2"/>
      <c r="I154" s="2"/>
      <c r="J154" s="2"/>
      <c r="K154" s="5"/>
      <c r="L154" s="2"/>
    </row>
    <row r="155" spans="1:12" x14ac:dyDescent="0.2">
      <c r="B155" s="8"/>
      <c r="C155" s="83"/>
      <c r="D155" s="82"/>
      <c r="E155" s="2"/>
      <c r="F155" s="2"/>
      <c r="G155" s="2"/>
      <c r="H155" s="2"/>
      <c r="I155" s="2"/>
      <c r="J155" s="2"/>
      <c r="K155" s="5"/>
      <c r="L155" s="2"/>
    </row>
    <row r="156" spans="1:12" x14ac:dyDescent="0.2">
      <c r="A156" s="235">
        <f>B9</f>
        <v>2016</v>
      </c>
      <c r="B156" s="8">
        <f>B102-C156</f>
        <v>0</v>
      </c>
      <c r="C156" s="2">
        <f>B$102</f>
        <v>763</v>
      </c>
      <c r="D156" s="82"/>
      <c r="E156" s="2"/>
      <c r="F156" s="2"/>
      <c r="G156" s="2"/>
      <c r="H156" s="2"/>
      <c r="I156" s="2"/>
      <c r="J156" s="2"/>
      <c r="K156" s="5"/>
      <c r="L156" s="2"/>
    </row>
    <row r="157" spans="1:12" x14ac:dyDescent="0.2">
      <c r="A157" s="235">
        <f t="shared" ref="A157:A164" si="82">A156+1</f>
        <v>2017</v>
      </c>
      <c r="B157" s="8">
        <f ca="1">C102-C157</f>
        <v>-4.7429139840460266E-5</v>
      </c>
      <c r="C157" s="2">
        <f ca="1">C$102</f>
        <v>772.13567693143023</v>
      </c>
      <c r="D157" s="82"/>
      <c r="E157" s="2"/>
      <c r="F157" s="2"/>
      <c r="G157" s="2"/>
      <c r="H157" s="2" t="s">
        <v>215</v>
      </c>
      <c r="I157" s="2"/>
      <c r="J157" s="2"/>
      <c r="K157" s="5"/>
      <c r="L157" s="2"/>
    </row>
    <row r="158" spans="1:12" x14ac:dyDescent="0.2">
      <c r="A158" s="235">
        <f t="shared" si="82"/>
        <v>2018</v>
      </c>
      <c r="B158" s="8">
        <f ca="1">D102-C158</f>
        <v>-1.080603261698343E-4</v>
      </c>
      <c r="C158" s="2">
        <f ca="1">D$102</f>
        <v>766.81013407140267</v>
      </c>
      <c r="D158" s="82"/>
      <c r="E158" s="2"/>
      <c r="F158" s="2"/>
      <c r="G158" s="2"/>
      <c r="H158" s="2"/>
      <c r="I158" s="2"/>
      <c r="J158" s="2"/>
      <c r="K158" s="5"/>
      <c r="L158" s="2"/>
    </row>
    <row r="159" spans="1:12" x14ac:dyDescent="0.2">
      <c r="A159" s="235">
        <f t="shared" si="82"/>
        <v>2019</v>
      </c>
      <c r="B159" s="8">
        <f ca="1">E102-C159</f>
        <v>-2.2764745699532796E-4</v>
      </c>
      <c r="C159" s="2">
        <f ca="1">E$102</f>
        <v>723.75697388830235</v>
      </c>
      <c r="D159" s="2"/>
      <c r="E159" s="2"/>
      <c r="F159" s="2"/>
      <c r="G159" s="2"/>
      <c r="H159" s="2"/>
      <c r="I159" s="2"/>
      <c r="J159" s="2"/>
      <c r="K159" s="5"/>
      <c r="L159" s="2"/>
    </row>
    <row r="160" spans="1:12" x14ac:dyDescent="0.2">
      <c r="A160" s="235">
        <f t="shared" si="82"/>
        <v>2020</v>
      </c>
      <c r="B160" s="8">
        <f ca="1">F102-C160</f>
        <v>-3.8589142604905646E-4</v>
      </c>
      <c r="C160" s="2">
        <f ca="1">F$102</f>
        <v>761.12349040838217</v>
      </c>
      <c r="D160" s="2"/>
      <c r="E160" s="2"/>
      <c r="F160" s="2"/>
      <c r="G160" s="2"/>
      <c r="H160" s="2"/>
      <c r="I160" s="2"/>
      <c r="J160" s="2"/>
      <c r="K160" s="5"/>
      <c r="L160" s="2"/>
    </row>
    <row r="161" spans="1:12" x14ac:dyDescent="0.2">
      <c r="A161" s="235">
        <f t="shared" si="82"/>
        <v>2021</v>
      </c>
      <c r="B161" s="8">
        <f ca="1">G102-C161</f>
        <v>-5.6525199465795595E-4</v>
      </c>
      <c r="C161" s="2">
        <f ca="1">G$102</f>
        <v>782.24095404207117</v>
      </c>
      <c r="D161" s="2"/>
      <c r="E161" s="2"/>
      <c r="F161" s="2"/>
      <c r="G161" s="2"/>
      <c r="H161" s="2"/>
      <c r="I161" s="2"/>
      <c r="J161" s="2"/>
      <c r="K161" s="5"/>
      <c r="L161" s="2"/>
    </row>
    <row r="162" spans="1:12" x14ac:dyDescent="0.2">
      <c r="A162" s="235">
        <f t="shared" si="82"/>
        <v>2022</v>
      </c>
      <c r="B162" s="8">
        <f ca="1">H102-C162</f>
        <v>-7.8172109772367548E-4</v>
      </c>
      <c r="C162" s="2">
        <f ca="1">H$102</f>
        <v>805.63792174925254</v>
      </c>
      <c r="D162" s="2"/>
      <c r="E162" s="2"/>
      <c r="F162" s="2"/>
      <c r="G162" s="2"/>
      <c r="H162" s="2"/>
      <c r="I162" s="2"/>
      <c r="J162" s="2"/>
      <c r="K162" s="5"/>
      <c r="L162" s="2"/>
    </row>
    <row r="163" spans="1:12" x14ac:dyDescent="0.2">
      <c r="A163" s="235">
        <f t="shared" si="82"/>
        <v>2023</v>
      </c>
      <c r="B163" s="8">
        <f ca="1">I102-C163</f>
        <v>-1.041273169107626E-3</v>
      </c>
      <c r="C163" s="2">
        <f ca="1">I$102</f>
        <v>830.7009436874115</v>
      </c>
      <c r="D163" s="2"/>
      <c r="E163" s="2"/>
      <c r="F163" s="2"/>
      <c r="G163" s="2"/>
      <c r="H163" s="2"/>
      <c r="I163" s="2"/>
      <c r="J163" s="2"/>
      <c r="K163" s="5"/>
      <c r="L163" s="2"/>
    </row>
    <row r="164" spans="1:12" x14ac:dyDescent="0.2">
      <c r="A164" s="235">
        <f t="shared" si="82"/>
        <v>2024</v>
      </c>
      <c r="B164" s="8">
        <f ca="1">J102-C164</f>
        <v>-1.3005303369482135E-3</v>
      </c>
      <c r="C164" s="2">
        <f ca="1">J$102</f>
        <v>875.42350931377109</v>
      </c>
      <c r="D164" s="2"/>
      <c r="E164" s="2"/>
      <c r="F164" s="2"/>
      <c r="G164" s="2"/>
      <c r="H164" s="2"/>
      <c r="I164" s="2"/>
      <c r="J164" s="2"/>
      <c r="K164" s="5"/>
      <c r="L164" s="2"/>
    </row>
    <row r="165" spans="1:12" x14ac:dyDescent="0.2">
      <c r="A165" s="235"/>
      <c r="B165" s="8"/>
      <c r="C165" s="2"/>
      <c r="D165" s="2"/>
      <c r="E165" s="2"/>
      <c r="F165" s="2"/>
      <c r="G165" s="2"/>
      <c r="H165" s="2"/>
      <c r="I165" s="2"/>
      <c r="J165" s="2"/>
      <c r="K165" s="5"/>
      <c r="L165" s="2"/>
    </row>
    <row r="166" spans="1:12" x14ac:dyDescent="0.2">
      <c r="A166" s="236" t="s">
        <v>128</v>
      </c>
      <c r="B166" s="3"/>
      <c r="C166" s="2"/>
      <c r="D166" s="2"/>
      <c r="E166" s="2"/>
      <c r="F166" s="2"/>
      <c r="G166" s="2"/>
      <c r="H166" s="2"/>
      <c r="I166" s="2"/>
      <c r="J166" s="2"/>
      <c r="K166" s="5"/>
      <c r="L166" s="2"/>
    </row>
    <row r="167" spans="1:12" x14ac:dyDescent="0.2">
      <c r="A167" s="52" t="s">
        <v>129</v>
      </c>
      <c r="B167" s="2" t="s">
        <v>126</v>
      </c>
      <c r="C167" s="82" t="s">
        <v>130</v>
      </c>
      <c r="D167" s="2"/>
      <c r="E167" s="2"/>
      <c r="F167" s="2"/>
      <c r="G167" s="2"/>
      <c r="H167" s="2"/>
      <c r="I167" s="2"/>
      <c r="J167" s="2"/>
      <c r="K167" s="5"/>
      <c r="L167" s="2"/>
    </row>
    <row r="168" spans="1:12" x14ac:dyDescent="0.2">
      <c r="A168" s="235">
        <f t="shared" ref="A168:A176" si="83">A156</f>
        <v>2016</v>
      </c>
      <c r="B168" s="8">
        <f>$C168-B$65</f>
        <v>0</v>
      </c>
      <c r="C168" s="2">
        <f>B$38</f>
        <v>22394</v>
      </c>
      <c r="D168" s="2"/>
      <c r="E168" s="2"/>
      <c r="F168" s="2"/>
      <c r="G168" s="2"/>
      <c r="H168" s="2"/>
      <c r="I168" s="2"/>
      <c r="J168" s="2"/>
      <c r="K168" s="5"/>
      <c r="L168" s="2"/>
    </row>
    <row r="169" spans="1:12" x14ac:dyDescent="0.2">
      <c r="A169" s="235">
        <f t="shared" si="83"/>
        <v>2017</v>
      </c>
      <c r="B169" s="8">
        <f ca="1">$C169-C$65</f>
        <v>1.4281247244070983E-2</v>
      </c>
      <c r="C169" s="2">
        <f ca="1">C$38</f>
        <v>22904.809470843025</v>
      </c>
      <c r="D169" s="2"/>
      <c r="E169" s="2"/>
      <c r="F169" s="2"/>
      <c r="G169" s="2"/>
      <c r="H169" s="2"/>
      <c r="I169" s="2"/>
      <c r="J169" s="2"/>
      <c r="K169" s="5"/>
      <c r="L169" s="2"/>
    </row>
    <row r="170" spans="1:12" x14ac:dyDescent="0.2">
      <c r="A170" s="235">
        <f t="shared" si="83"/>
        <v>2018</v>
      </c>
      <c r="B170" s="8">
        <f ca="1">$C170-D$65</f>
        <v>3.3108109026215971E-2</v>
      </c>
      <c r="C170" s="2">
        <f ca="1">D$38</f>
        <v>23371.8463610783</v>
      </c>
      <c r="D170" s="2"/>
      <c r="E170" s="2"/>
      <c r="F170" s="2"/>
      <c r="G170" s="2"/>
      <c r="H170" s="2"/>
      <c r="I170" s="2"/>
      <c r="J170" s="2"/>
      <c r="K170" s="5"/>
      <c r="L170" s="2"/>
    </row>
    <row r="171" spans="1:12" x14ac:dyDescent="0.2">
      <c r="A171" s="235">
        <f t="shared" si="83"/>
        <v>2019</v>
      </c>
      <c r="B171" s="8">
        <f ca="1">$C171-E$65</f>
        <v>6.7267554288264364E-2</v>
      </c>
      <c r="C171" s="2">
        <f ca="1">E$38</f>
        <v>24129.798981702668</v>
      </c>
      <c r="D171" s="2"/>
      <c r="E171" s="2"/>
      <c r="F171" s="2"/>
      <c r="G171" s="2"/>
      <c r="H171" s="2"/>
      <c r="I171" s="2"/>
      <c r="J171" s="2"/>
      <c r="K171" s="5"/>
      <c r="L171" s="2"/>
    </row>
    <row r="172" spans="1:12" x14ac:dyDescent="0.2">
      <c r="A172" s="235">
        <f t="shared" si="83"/>
        <v>2020</v>
      </c>
      <c r="B172" s="8">
        <f ca="1">$C172-F$65</f>
        <v>0.10386211805962375</v>
      </c>
      <c r="C172" s="2">
        <f ca="1">F$38</f>
        <v>24540.920657666411</v>
      </c>
      <c r="D172" s="2"/>
      <c r="E172" s="2"/>
      <c r="F172" s="2"/>
      <c r="G172" s="2"/>
      <c r="H172" s="2"/>
      <c r="I172" s="2"/>
      <c r="J172" s="2"/>
      <c r="K172" s="5"/>
      <c r="L172" s="2"/>
    </row>
    <row r="173" spans="1:12" x14ac:dyDescent="0.2">
      <c r="A173" s="235">
        <f t="shared" si="83"/>
        <v>2021</v>
      </c>
      <c r="B173" s="8">
        <f ca="1">$C173-G$65</f>
        <v>0.14832350821598084</v>
      </c>
      <c r="C173" s="2">
        <f ca="1">G$38</f>
        <v>24898.247998754821</v>
      </c>
      <c r="D173" s="2"/>
      <c r="E173" s="2"/>
      <c r="F173" s="2"/>
      <c r="G173" s="2"/>
      <c r="H173" s="2"/>
      <c r="I173" s="2"/>
      <c r="J173" s="2"/>
      <c r="K173" s="5"/>
      <c r="L173" s="2"/>
    </row>
    <row r="174" spans="1:12" x14ac:dyDescent="0.2">
      <c r="A174" s="235">
        <f t="shared" si="83"/>
        <v>2022</v>
      </c>
      <c r="B174" s="8">
        <f ca="1">$C174-H$65</f>
        <v>0.20250947697422816</v>
      </c>
      <c r="C174" s="2">
        <f ca="1">H$38</f>
        <v>25257.278249220159</v>
      </c>
      <c r="D174" s="2"/>
      <c r="E174" s="2"/>
      <c r="F174" s="2"/>
      <c r="G174" s="2"/>
      <c r="H174" s="2"/>
      <c r="I174" s="2"/>
      <c r="J174" s="2"/>
      <c r="K174" s="5"/>
      <c r="L174" s="2"/>
    </row>
    <row r="175" spans="1:12" x14ac:dyDescent="0.2">
      <c r="A175" s="235">
        <f t="shared" si="83"/>
        <v>2023</v>
      </c>
      <c r="B175" s="8">
        <f ca="1">$C175-I$65</f>
        <v>0.26753373791143531</v>
      </c>
      <c r="C175" s="2">
        <f ca="1">I$38</f>
        <v>25617.819063566902</v>
      </c>
      <c r="D175" s="2"/>
      <c r="E175" s="2"/>
      <c r="F175" s="2"/>
      <c r="G175" s="2"/>
      <c r="H175" s="2"/>
      <c r="I175" s="2"/>
      <c r="J175" s="2"/>
      <c r="K175" s="5"/>
      <c r="L175" s="2"/>
    </row>
    <row r="176" spans="1:12" x14ac:dyDescent="0.2">
      <c r="A176" s="235">
        <f t="shared" si="83"/>
        <v>2024</v>
      </c>
      <c r="B176" s="8">
        <f ca="1">$C176-J$65</f>
        <v>0.32316391050699167</v>
      </c>
      <c r="C176" s="2">
        <f>J$38</f>
        <v>25000</v>
      </c>
      <c r="D176" s="2"/>
      <c r="E176" s="2"/>
      <c r="F176" s="2"/>
      <c r="G176" s="2"/>
      <c r="H176" s="2"/>
      <c r="I176" s="2"/>
      <c r="J176" s="2"/>
      <c r="K176" s="5"/>
      <c r="L176" s="2"/>
    </row>
    <row r="177" spans="2:12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</row>
    <row r="178" spans="2:12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</row>
    <row r="179" spans="2:12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</row>
    <row r="180" spans="2:12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</row>
    <row r="181" spans="2:12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5"/>
      <c r="L181" s="2"/>
    </row>
    <row r="182" spans="2:12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5"/>
      <c r="L182" s="2"/>
    </row>
    <row r="183" spans="2:12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2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2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2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2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2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2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2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2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5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5"/>
    </row>
    <row r="204" spans="2:11" x14ac:dyDescent="0.2">
      <c r="C204" s="2"/>
      <c r="D204" s="2"/>
      <c r="E204" s="2"/>
      <c r="F204" s="2"/>
      <c r="G204" s="2"/>
      <c r="H204" s="2"/>
      <c r="I204" s="2"/>
      <c r="J204" s="2"/>
      <c r="K204" s="5"/>
    </row>
  </sheetData>
  <phoneticPr fontId="6" type="noConversion"/>
  <printOptions horizontalCentered="1"/>
  <pageMargins left="0.5" right="0.5" top="0.59" bottom="1" header="0.5" footer="0.5"/>
  <pageSetup scale="56" fitToHeight="2" orientation="portrait" r:id="rId1"/>
  <headerFooter alignWithMargins="0"/>
  <rowBreaks count="2" manualBreakCount="2">
    <brk id="68" max="23" man="1"/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8"/>
  <sheetViews>
    <sheetView zoomScaleNormal="100" workbookViewId="0">
      <selection activeCell="N11" sqref="N11"/>
    </sheetView>
  </sheetViews>
  <sheetFormatPr defaultRowHeight="12.75" x14ac:dyDescent="0.2"/>
  <cols>
    <col min="1" max="1" width="25.140625" style="52" customWidth="1"/>
    <col min="2" max="3" width="12.7109375" style="52" customWidth="1"/>
    <col min="4" max="4" width="26.42578125" style="122" customWidth="1"/>
    <col min="5" max="5" width="50.140625" style="112" customWidth="1"/>
    <col min="6" max="6" width="7.85546875" style="52" customWidth="1"/>
    <col min="7" max="13" width="10.7109375" style="52" customWidth="1"/>
    <col min="14" max="15" width="10.7109375" style="2" customWidth="1"/>
    <col min="16" max="19" width="9.140625" style="2"/>
    <col min="20" max="25" width="9.140625" style="52"/>
    <col min="27" max="53" width="9.140625" style="52"/>
  </cols>
  <sheetData>
    <row r="1" spans="1:54" x14ac:dyDescent="0.2">
      <c r="A1" s="52" t="s">
        <v>131</v>
      </c>
    </row>
    <row r="2" spans="1:54" x14ac:dyDescent="0.2">
      <c r="A2" s="52" t="s">
        <v>132</v>
      </c>
      <c r="D2" s="122" t="s">
        <v>173</v>
      </c>
      <c r="E2" s="112" t="s">
        <v>174</v>
      </c>
      <c r="Z2" s="52"/>
      <c r="AA2"/>
      <c r="BB2" s="52"/>
    </row>
    <row r="3" spans="1:54" x14ac:dyDescent="0.2">
      <c r="G3" s="84">
        <f>Historical!L10</f>
        <v>2010</v>
      </c>
      <c r="H3" s="84">
        <f>Historical!M10</f>
        <v>2011</v>
      </c>
      <c r="I3" s="84">
        <f>Historical!N10</f>
        <v>2012</v>
      </c>
      <c r="J3" s="84">
        <f>Historical!O10</f>
        <v>2013</v>
      </c>
      <c r="K3" s="84">
        <f>Historical!P10</f>
        <v>2014</v>
      </c>
      <c r="L3" s="84">
        <f>Historical!Q10</f>
        <v>2015</v>
      </c>
      <c r="M3" s="84">
        <f>Historical!R10</f>
        <v>2016</v>
      </c>
      <c r="N3" s="339" t="s">
        <v>180</v>
      </c>
      <c r="Z3" s="52"/>
      <c r="AA3"/>
      <c r="BB3" s="52"/>
    </row>
    <row r="4" spans="1:54" x14ac:dyDescent="0.2">
      <c r="A4" s="116" t="s">
        <v>133</v>
      </c>
      <c r="B4" s="116"/>
      <c r="C4" s="117">
        <v>2.5000000000000001E-2</v>
      </c>
      <c r="E4" s="257" t="s">
        <v>222</v>
      </c>
      <c r="F4" s="84"/>
      <c r="Y4"/>
      <c r="Z4" s="52"/>
      <c r="BA4"/>
    </row>
    <row r="5" spans="1:54" x14ac:dyDescent="0.2">
      <c r="A5" s="116" t="s">
        <v>189</v>
      </c>
      <c r="B5" s="116"/>
      <c r="C5" s="117">
        <v>0.06</v>
      </c>
      <c r="E5" s="113"/>
      <c r="Y5"/>
      <c r="Z5" s="52"/>
      <c r="BA5"/>
    </row>
    <row r="6" spans="1:54" x14ac:dyDescent="0.2">
      <c r="A6" s="118" t="s">
        <v>138</v>
      </c>
      <c r="B6" s="116"/>
      <c r="C6" s="117">
        <v>0.03</v>
      </c>
      <c r="E6" s="113"/>
      <c r="Y6"/>
      <c r="Z6" s="52"/>
      <c r="BA6"/>
    </row>
    <row r="7" spans="1:54" x14ac:dyDescent="0.2">
      <c r="A7" s="116" t="s">
        <v>139</v>
      </c>
      <c r="B7" s="116"/>
      <c r="C7" s="117">
        <v>0.01</v>
      </c>
      <c r="E7" s="113"/>
      <c r="Y7"/>
      <c r="Z7" s="52"/>
      <c r="BA7"/>
    </row>
    <row r="8" spans="1:54" x14ac:dyDescent="0.2">
      <c r="A8" s="116"/>
      <c r="B8" s="116"/>
      <c r="C8" s="116"/>
      <c r="Y8"/>
      <c r="Z8" s="52"/>
      <c r="BA8"/>
    </row>
    <row r="9" spans="1:54" x14ac:dyDescent="0.2">
      <c r="A9" s="172" t="str">
        <f>Historical!A12</f>
        <v>Current Assets:</v>
      </c>
      <c r="B9" s="116"/>
      <c r="C9" s="117"/>
      <c r="D9" s="123"/>
      <c r="E9" s="128"/>
      <c r="N9" s="340"/>
      <c r="Y9"/>
      <c r="Z9" s="52"/>
      <c r="BA9"/>
    </row>
    <row r="10" spans="1:54" x14ac:dyDescent="0.2">
      <c r="A10" s="52" t="str">
        <f>Historical!A13</f>
        <v>Cash &amp; Equivalents</v>
      </c>
      <c r="B10" s="116"/>
      <c r="C10" s="117">
        <f>N10</f>
        <v>3.3138214185973107E-3</v>
      </c>
      <c r="D10" s="122" t="s">
        <v>178</v>
      </c>
      <c r="E10" s="260" t="s">
        <v>253</v>
      </c>
      <c r="F10" s="55"/>
      <c r="G10" s="55">
        <f>Historical!L13/Historical!L78</f>
        <v>6.994584837545126E-3</v>
      </c>
      <c r="H10" s="55">
        <f>Historical!M13/Historical!M78</f>
        <v>1.0248582642825993E-2</v>
      </c>
      <c r="I10" s="55">
        <f>Historical!N13/Historical!N78</f>
        <v>1.6386726751331421E-2</v>
      </c>
      <c r="J10" s="55">
        <f>Historical!O13/Historical!O78</f>
        <v>1.0297260540120458E-2</v>
      </c>
      <c r="K10" s="55">
        <f>Historical!P13/Historical!P78</f>
        <v>4.3792840822543793E-3</v>
      </c>
      <c r="L10" s="55">
        <f>Historical!Q13/Historical!Q78</f>
        <v>2.2935779816513763E-3</v>
      </c>
      <c r="M10" s="55">
        <f>Historical!R13/Historical!R78</f>
        <v>3.2686021918861756E-3</v>
      </c>
      <c r="N10" s="5">
        <f>AVERAGE(K10:M10)</f>
        <v>3.3138214185973107E-3</v>
      </c>
      <c r="Y10"/>
      <c r="Z10" s="52"/>
      <c r="BA10"/>
    </row>
    <row r="11" spans="1:54" x14ac:dyDescent="0.2">
      <c r="A11" s="52" t="s">
        <v>135</v>
      </c>
      <c r="B11" s="116"/>
      <c r="C11" s="117"/>
      <c r="D11" s="241" t="s">
        <v>176</v>
      </c>
      <c r="E11" s="123"/>
      <c r="N11" s="5"/>
      <c r="Y11"/>
      <c r="Z11" s="52"/>
      <c r="BA11"/>
    </row>
    <row r="12" spans="1:54" x14ac:dyDescent="0.2">
      <c r="A12" s="52" t="str">
        <f>Historical!A14</f>
        <v>Accounts Receivable</v>
      </c>
      <c r="B12" s="116"/>
      <c r="C12" s="117">
        <f>N12</f>
        <v>0.13891645881887221</v>
      </c>
      <c r="D12" s="258" t="s">
        <v>207</v>
      </c>
      <c r="E12" s="272" t="s">
        <v>235</v>
      </c>
      <c r="F12" s="117"/>
      <c r="G12" s="117">
        <f>Historical!L14/Historical!L78</f>
        <v>0.14169675090252706</v>
      </c>
      <c r="H12" s="117">
        <f>Historical!M14/Historical!M78</f>
        <v>0.14238988225032709</v>
      </c>
      <c r="I12" s="117">
        <f>Historical!N14/Historical!N78</f>
        <v>0.1374436706267923</v>
      </c>
      <c r="J12" s="117">
        <f>Historical!O14/Historical!O78</f>
        <v>0.13600155430347777</v>
      </c>
      <c r="K12" s="117">
        <f>Historical!P14/Historical!P78</f>
        <v>0.13347296268088346</v>
      </c>
      <c r="L12" s="117">
        <f>Historical!Q14/Historical!Q78</f>
        <v>0.14143730886850153</v>
      </c>
      <c r="M12" s="117">
        <f>Historical!R14/Historical!R78</f>
        <v>0.13997308209959622</v>
      </c>
      <c r="N12" s="5">
        <f>AVERAGE(G12:M12)</f>
        <v>0.13891645881887221</v>
      </c>
      <c r="Y12"/>
      <c r="Z12" s="52"/>
      <c r="BA12"/>
    </row>
    <row r="13" spans="1:54" x14ac:dyDescent="0.2">
      <c r="A13" s="52" t="str">
        <f>Historical!A15</f>
        <v>Material, Supplies, Fuel</v>
      </c>
      <c r="B13" s="116"/>
      <c r="C13" s="117">
        <f>AVERAGE(C65:C66)</f>
        <v>1.6956546416272159E-2</v>
      </c>
      <c r="D13" s="258" t="s">
        <v>220</v>
      </c>
      <c r="E13" s="259"/>
      <c r="F13" s="84"/>
      <c r="G13" s="84"/>
      <c r="H13" s="84"/>
      <c r="I13" s="111"/>
      <c r="J13" s="111"/>
      <c r="K13" s="111"/>
      <c r="L13" s="111"/>
      <c r="M13" s="111"/>
      <c r="N13" s="5"/>
      <c r="Y13"/>
      <c r="Z13" s="52"/>
      <c r="BA13"/>
    </row>
    <row r="14" spans="1:54" x14ac:dyDescent="0.2">
      <c r="A14" s="52" t="str">
        <f>Historical!A16</f>
        <v>Other Current Assets</v>
      </c>
      <c r="B14" s="116"/>
      <c r="C14" s="117">
        <f>N14</f>
        <v>1.0939346004150738E-2</v>
      </c>
      <c r="D14" s="256" t="s">
        <v>208</v>
      </c>
      <c r="E14" s="271" t="s">
        <v>236</v>
      </c>
      <c r="F14" s="55"/>
      <c r="G14" s="55">
        <f>Historical!AG16</f>
        <v>3.2860121115854263E-2</v>
      </c>
      <c r="H14" s="55">
        <f>Historical!AH16</f>
        <v>1.6582962190846207E-2</v>
      </c>
      <c r="I14" s="55">
        <f>Historical!AI16</f>
        <v>1.1459867452135493E-2</v>
      </c>
      <c r="J14" s="55">
        <f>Historical!AJ16</f>
        <v>1.0849993074472505E-2</v>
      </c>
      <c r="K14" s="55">
        <f>Historical!AK16</f>
        <v>1.6032425129475343E-2</v>
      </c>
      <c r="L14" s="55">
        <f>Historical!AL16</f>
        <v>8.9417445343586525E-3</v>
      </c>
      <c r="M14" s="55">
        <f>Historical!AM16</f>
        <v>7.412699830311691E-3</v>
      </c>
      <c r="N14" s="5">
        <f>AVERAGE(I14:M14)</f>
        <v>1.0939346004150738E-2</v>
      </c>
      <c r="Y14"/>
      <c r="Z14" s="52"/>
      <c r="BA14"/>
    </row>
    <row r="15" spans="1:54" x14ac:dyDescent="0.2">
      <c r="A15" s="52" t="str">
        <f>Historical!A17</f>
        <v>Total Current Assets</v>
      </c>
      <c r="B15" s="116"/>
      <c r="C15" s="117"/>
      <c r="D15" s="241" t="s">
        <v>176</v>
      </c>
      <c r="E15" s="114"/>
      <c r="F15" s="55"/>
      <c r="G15" s="55"/>
      <c r="H15" s="55"/>
      <c r="I15" s="55"/>
      <c r="J15" s="55"/>
      <c r="K15" s="55"/>
      <c r="L15" s="55"/>
      <c r="M15" s="55"/>
      <c r="N15" s="5"/>
      <c r="Y15"/>
      <c r="Z15" s="52"/>
      <c r="BA15"/>
    </row>
    <row r="16" spans="1:54" x14ac:dyDescent="0.2">
      <c r="B16" s="116"/>
      <c r="C16" s="117"/>
    </row>
    <row r="17" spans="1:54" x14ac:dyDescent="0.2">
      <c r="A17" s="172" t="str">
        <f>Historical!A19</f>
        <v>Plant &amp; Equipment:</v>
      </c>
      <c r="B17" s="116"/>
      <c r="C17" s="116"/>
    </row>
    <row r="18" spans="1:54" ht="51" x14ac:dyDescent="0.2">
      <c r="A18" s="52" t="str">
        <f>Historical!A20</f>
        <v>Plant in Service</v>
      </c>
      <c r="B18" s="116"/>
      <c r="C18" s="117">
        <f>C61*0.75</f>
        <v>1.9115960945000031E-2</v>
      </c>
      <c r="D18" s="258" t="s">
        <v>243</v>
      </c>
      <c r="E18" s="258" t="s">
        <v>247</v>
      </c>
      <c r="G18" s="84">
        <v>2016</v>
      </c>
      <c r="H18" s="84">
        <v>2017</v>
      </c>
      <c r="I18" s="84">
        <v>2018</v>
      </c>
      <c r="J18" s="267" t="s">
        <v>216</v>
      </c>
      <c r="K18" s="84"/>
      <c r="L18" s="84"/>
      <c r="M18" s="84"/>
      <c r="N18" s="267"/>
    </row>
    <row r="19" spans="1:54" x14ac:dyDescent="0.2">
      <c r="A19" s="2" t="s">
        <v>244</v>
      </c>
      <c r="B19" s="116"/>
      <c r="C19" s="117">
        <f>C61*0.85</f>
        <v>2.1664755737666699E-2</v>
      </c>
      <c r="D19" s="258"/>
      <c r="G19" s="84"/>
      <c r="H19" s="84"/>
      <c r="I19" s="84"/>
      <c r="J19" s="84"/>
      <c r="K19" s="267"/>
      <c r="L19" s="267"/>
      <c r="M19" s="84"/>
      <c r="N19" s="267"/>
      <c r="O19" s="267"/>
      <c r="Z19" s="52"/>
      <c r="AA19"/>
      <c r="BB19" s="52"/>
    </row>
    <row r="20" spans="1:54" s="270" customFormat="1" ht="32.25" customHeight="1" x14ac:dyDescent="0.2">
      <c r="A20" s="112" t="str">
        <f>Historical!A21</f>
        <v>Construction Work in Progress</v>
      </c>
      <c r="B20" s="122"/>
      <c r="C20" s="277" t="s">
        <v>218</v>
      </c>
      <c r="D20" s="258" t="s">
        <v>219</v>
      </c>
      <c r="E20" s="260" t="s">
        <v>228</v>
      </c>
      <c r="F20" s="268"/>
      <c r="G20" s="269">
        <v>630</v>
      </c>
      <c r="H20" s="269">
        <v>635</v>
      </c>
      <c r="I20" s="269">
        <v>650</v>
      </c>
      <c r="J20" s="269">
        <v>700</v>
      </c>
      <c r="K20" s="269"/>
      <c r="L20" s="269"/>
      <c r="M20" s="269"/>
      <c r="N20" s="341"/>
      <c r="O20" s="260"/>
      <c r="P20" s="260"/>
      <c r="Q20" s="260"/>
      <c r="R20" s="260"/>
      <c r="S20" s="260"/>
      <c r="T20" s="112"/>
      <c r="U20" s="112"/>
      <c r="V20" s="112"/>
      <c r="W20" s="112"/>
      <c r="X20" s="112"/>
      <c r="Y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</row>
    <row r="21" spans="1:54" ht="6" hidden="1" customHeight="1" x14ac:dyDescent="0.2">
      <c r="A21" s="52" t="str">
        <f>Historical!A22</f>
        <v>Australian Electric Operations</v>
      </c>
      <c r="B21" s="116"/>
      <c r="C21" s="119">
        <v>0</v>
      </c>
      <c r="D21" s="123"/>
      <c r="F21" s="55"/>
      <c r="G21" s="55"/>
      <c r="H21" s="55"/>
      <c r="I21" s="55"/>
      <c r="J21" s="55"/>
      <c r="M21" s="55"/>
      <c r="N21" s="5"/>
      <c r="O21" s="5"/>
      <c r="Z21" s="52"/>
      <c r="AA21"/>
      <c r="BB21" s="52"/>
    </row>
    <row r="22" spans="1:54" ht="5.25" hidden="1" customHeight="1" x14ac:dyDescent="0.2">
      <c r="A22" s="52" t="str">
        <f>Historical!A23</f>
        <v>Other PP&amp;E</v>
      </c>
      <c r="B22" s="116"/>
      <c r="C22" s="119">
        <v>0</v>
      </c>
      <c r="Z22" s="52"/>
      <c r="AA22"/>
      <c r="BB22" s="52"/>
    </row>
    <row r="23" spans="1:54" x14ac:dyDescent="0.2">
      <c r="A23" s="52" t="str">
        <f>Historical!A24</f>
        <v>Total Plant &amp; Equipment:</v>
      </c>
      <c r="B23" s="116"/>
      <c r="C23" s="116"/>
      <c r="D23" s="241" t="s">
        <v>176</v>
      </c>
      <c r="Z23" s="52"/>
      <c r="AA23"/>
      <c r="BB23" s="52"/>
    </row>
    <row r="24" spans="1:54" ht="89.25" x14ac:dyDescent="0.2">
      <c r="A24" s="116" t="str">
        <f>Historical!A26</f>
        <v>Accumulated Depreciation &amp; Amort.</v>
      </c>
      <c r="B24" s="116"/>
      <c r="C24" s="117">
        <f>N24</f>
        <v>0.31363840389107034</v>
      </c>
      <c r="D24" s="258" t="s">
        <v>237</v>
      </c>
      <c r="E24" s="279" t="s">
        <v>224</v>
      </c>
      <c r="F24" s="321">
        <f>1+0.0156</f>
        <v>1.0156000000000001</v>
      </c>
      <c r="G24" s="55">
        <f>Historical!L26/Historical!L20</f>
        <v>0.30162476173186892</v>
      </c>
      <c r="H24" s="55">
        <f>Historical!M26/Historical!M20</f>
        <v>0.29876382563435261</v>
      </c>
      <c r="I24" s="55">
        <f>Historical!N26/Historical!N20</f>
        <v>0.30061605061605062</v>
      </c>
      <c r="J24" s="55">
        <f>Historical!O26/Historical!O20</f>
        <v>0.30907189963004666</v>
      </c>
      <c r="K24" s="55">
        <f>Historical!P26/Historical!P20</f>
        <v>0.31092860186727617</v>
      </c>
      <c r="L24" s="55">
        <f>Historical!Q26/Historical!Q20</f>
        <v>0.31244160406622568</v>
      </c>
      <c r="M24" s="55">
        <f>Historical!R26/Historical!R20</f>
        <v>0.32211151000073268</v>
      </c>
      <c r="N24" s="5">
        <f>AVERAGE(J24:M24)</f>
        <v>0.31363840389107034</v>
      </c>
    </row>
    <row r="25" spans="1:54" x14ac:dyDescent="0.2">
      <c r="A25" s="52" t="str">
        <f>Historical!A28</f>
        <v>Net Plant &amp; Equipment</v>
      </c>
      <c r="B25" s="116"/>
      <c r="C25" s="117"/>
      <c r="D25" s="241" t="s">
        <v>176</v>
      </c>
      <c r="E25" s="114"/>
    </row>
    <row r="26" spans="1:54" x14ac:dyDescent="0.2">
      <c r="B26" s="116"/>
      <c r="C26" s="117"/>
      <c r="D26" s="241"/>
      <c r="E26" s="114"/>
      <c r="G26" s="84">
        <f>G3</f>
        <v>2010</v>
      </c>
      <c r="H26" s="84">
        <f t="shared" ref="H26:N26" si="0">H3</f>
        <v>2011</v>
      </c>
      <c r="I26" s="84">
        <f t="shared" si="0"/>
        <v>2012</v>
      </c>
      <c r="J26" s="84">
        <f t="shared" si="0"/>
        <v>2013</v>
      </c>
      <c r="K26" s="84">
        <f t="shared" si="0"/>
        <v>2014</v>
      </c>
      <c r="L26" s="84">
        <f t="shared" si="0"/>
        <v>2015</v>
      </c>
      <c r="M26" s="84">
        <f t="shared" si="0"/>
        <v>2016</v>
      </c>
      <c r="N26" s="267" t="str">
        <f t="shared" si="0"/>
        <v xml:space="preserve">average </v>
      </c>
    </row>
    <row r="27" spans="1:54" x14ac:dyDescent="0.2">
      <c r="A27" s="172" t="str">
        <f>Historical!A30</f>
        <v>Other Assets:</v>
      </c>
      <c r="B27" s="116"/>
      <c r="C27" s="116"/>
    </row>
    <row r="28" spans="1:54" x14ac:dyDescent="0.2">
      <c r="A28" s="52" t="str">
        <f>Historical!A31</f>
        <v>Regulatory Assets</v>
      </c>
      <c r="B28" s="116"/>
      <c r="C28" s="57">
        <f>C61</f>
        <v>2.5487947926666706E-2</v>
      </c>
      <c r="D28" s="258" t="s">
        <v>206</v>
      </c>
      <c r="E28" s="260" t="s">
        <v>214</v>
      </c>
      <c r="F28" s="55"/>
      <c r="Y28"/>
      <c r="Z28" s="52"/>
      <c r="BA28"/>
    </row>
    <row r="29" spans="1:54" hidden="1" x14ac:dyDescent="0.2">
      <c r="A29" s="52" t="str">
        <f>Historical!A32</f>
        <v>Intangible Assets-net</v>
      </c>
      <c r="B29" s="116"/>
      <c r="C29" s="116"/>
      <c r="F29" s="84"/>
      <c r="G29" s="84"/>
      <c r="H29" s="84"/>
      <c r="I29" s="84"/>
      <c r="J29" s="84"/>
      <c r="Y29"/>
      <c r="Z29" s="52"/>
      <c r="BA29"/>
    </row>
    <row r="30" spans="1:54" ht="12" customHeight="1" x14ac:dyDescent="0.2">
      <c r="A30" s="52" t="str">
        <f>Historical!A33</f>
        <v>Financial Assets/Derivatives</v>
      </c>
      <c r="B30" s="116"/>
      <c r="C30" s="117">
        <f>M30</f>
        <v>1.1371365644519933E-4</v>
      </c>
      <c r="D30" s="122" t="s">
        <v>175</v>
      </c>
      <c r="E30" s="259"/>
      <c r="F30" s="55"/>
      <c r="G30" s="55">
        <f>Historical!AG33</f>
        <v>4.4673880671100964E-4</v>
      </c>
      <c r="H30" s="55">
        <f>Historical!AH33</f>
        <v>1.895195678953852E-4</v>
      </c>
      <c r="I30" s="55">
        <f>Historical!AI33</f>
        <v>4.6023564064801177E-5</v>
      </c>
      <c r="J30" s="55">
        <f>Historical!AJ33</f>
        <v>0</v>
      </c>
      <c r="K30" s="55">
        <f>Historical!AK33</f>
        <v>0</v>
      </c>
      <c r="L30" s="55">
        <f>Historical!AM33</f>
        <v>0</v>
      </c>
      <c r="M30" s="55">
        <f>AVERAGE(G30:L30)</f>
        <v>1.1371365644519933E-4</v>
      </c>
      <c r="Y30"/>
      <c r="Z30" s="52"/>
      <c r="BA30"/>
    </row>
    <row r="31" spans="1:54" hidden="1" x14ac:dyDescent="0.2">
      <c r="A31" s="52" t="str">
        <f>Historical!A34</f>
        <v>Investments in Affiliates</v>
      </c>
      <c r="B31" s="116"/>
      <c r="C31" s="117"/>
      <c r="D31" s="122" t="s">
        <v>175</v>
      </c>
      <c r="E31" s="114"/>
      <c r="F31" s="55"/>
      <c r="G31" s="55"/>
      <c r="H31" s="55"/>
      <c r="I31" s="55"/>
      <c r="J31" s="55"/>
      <c r="K31" s="55"/>
      <c r="L31" s="55" t="e">
        <f>AVERAGE(G31:J31)</f>
        <v>#DIV/0!</v>
      </c>
      <c r="M31" s="55" t="e">
        <f>AVERAGE(G31:L31)</f>
        <v>#DIV/0!</v>
      </c>
      <c r="Y31"/>
      <c r="Z31" s="52"/>
      <c r="BA31"/>
    </row>
    <row r="32" spans="1:54" x14ac:dyDescent="0.2">
      <c r="A32" s="52" t="str">
        <f>Historical!A35</f>
        <v>Deferred Charges and Other</v>
      </c>
      <c r="B32" s="116"/>
      <c r="C32" s="117">
        <f>N32</f>
        <v>1.7180046410425219E-2</v>
      </c>
      <c r="D32" s="122" t="s">
        <v>175</v>
      </c>
      <c r="E32" s="260" t="s">
        <v>238</v>
      </c>
      <c r="G32" s="55">
        <f>Historical!AG35</f>
        <v>1.9656507495284425E-2</v>
      </c>
      <c r="H32" s="55">
        <f>Historical!AH35</f>
        <v>2.0610253008623139E-2</v>
      </c>
      <c r="I32" s="55">
        <f>Historical!AI35</f>
        <v>1.9744108983799705E-2</v>
      </c>
      <c r="J32" s="55">
        <f>Historical!AJ35</f>
        <v>1.9391476984163627E-2</v>
      </c>
      <c r="K32" s="55">
        <f>Historical!AK35</f>
        <v>1.8689484350371537E-2</v>
      </c>
      <c r="L32" s="55">
        <f>Historical!AL35</f>
        <v>1.7034023337953234E-2</v>
      </c>
      <c r="M32" s="55">
        <f>Historical!AM35</f>
        <v>1.7326069482897204E-2</v>
      </c>
      <c r="N32" s="5">
        <f>AVERAGE(L32:M32)</f>
        <v>1.7180046410425219E-2</v>
      </c>
      <c r="Y32"/>
      <c r="Z32" s="52"/>
      <c r="BA32"/>
    </row>
    <row r="33" spans="1:53" x14ac:dyDescent="0.2">
      <c r="A33" s="52" t="str">
        <f>Historical!A36</f>
        <v>Total Other Assets</v>
      </c>
      <c r="B33" s="116"/>
      <c r="C33" s="117"/>
      <c r="D33" s="241" t="s">
        <v>176</v>
      </c>
      <c r="E33" s="114"/>
      <c r="I33"/>
      <c r="J33"/>
      <c r="Y33"/>
      <c r="Z33" s="52"/>
      <c r="BA33"/>
    </row>
    <row r="34" spans="1:53" x14ac:dyDescent="0.2">
      <c r="A34" s="52" t="str">
        <f>Historical!A37</f>
        <v>Total Non-Current Assets</v>
      </c>
      <c r="B34" s="116"/>
      <c r="C34" s="116"/>
      <c r="D34" s="241" t="s">
        <v>176</v>
      </c>
      <c r="F34" s="84"/>
      <c r="G34" s="84"/>
      <c r="H34" s="84"/>
      <c r="I34" s="84"/>
      <c r="J34" s="84"/>
      <c r="K34" s="84"/>
      <c r="L34" s="84"/>
      <c r="M34" s="127"/>
    </row>
    <row r="35" spans="1:53" x14ac:dyDescent="0.2">
      <c r="A35" s="172" t="str">
        <f>Historical!A38</f>
        <v>Total Assets</v>
      </c>
      <c r="B35" s="116"/>
      <c r="C35" s="116"/>
      <c r="D35" s="241" t="s">
        <v>176</v>
      </c>
      <c r="E35" s="114"/>
      <c r="F35" s="116"/>
      <c r="G35" s="116"/>
      <c r="H35" s="116"/>
      <c r="I35" s="116"/>
      <c r="J35" s="116"/>
      <c r="K35" s="116"/>
      <c r="L35" s="116"/>
      <c r="M35" s="116"/>
      <c r="N35" s="342"/>
    </row>
    <row r="36" spans="1:53" x14ac:dyDescent="0.2">
      <c r="B36" s="116"/>
      <c r="C36" s="116"/>
      <c r="D36" s="123"/>
      <c r="E36" s="114"/>
      <c r="F36" s="116"/>
      <c r="G36" s="116"/>
      <c r="H36" s="116"/>
      <c r="I36" s="116"/>
      <c r="J36" s="116"/>
      <c r="K36" s="116"/>
      <c r="L36" s="116"/>
      <c r="M36" s="116"/>
      <c r="N36" s="342"/>
    </row>
    <row r="37" spans="1:53" x14ac:dyDescent="0.2">
      <c r="A37" s="52" t="str">
        <f>Historical!A41</f>
        <v>Current Liabilities:</v>
      </c>
      <c r="B37" s="116"/>
      <c r="C37" s="117"/>
      <c r="E37" s="114"/>
      <c r="F37" s="84"/>
      <c r="G37" s="84">
        <f t="shared" ref="G37:K37" si="1">G3</f>
        <v>2010</v>
      </c>
      <c r="H37" s="84">
        <f t="shared" si="1"/>
        <v>2011</v>
      </c>
      <c r="I37" s="84">
        <f t="shared" si="1"/>
        <v>2012</v>
      </c>
      <c r="J37" s="84">
        <f t="shared" si="1"/>
        <v>2013</v>
      </c>
      <c r="K37" s="84">
        <f t="shared" si="1"/>
        <v>2014</v>
      </c>
      <c r="L37" s="84">
        <f t="shared" ref="L37:M37" si="2">L3</f>
        <v>2015</v>
      </c>
      <c r="M37" s="84">
        <f t="shared" si="2"/>
        <v>2016</v>
      </c>
      <c r="N37" s="111" t="str">
        <f>N3</f>
        <v xml:space="preserve">average </v>
      </c>
      <c r="T37" s="2"/>
    </row>
    <row r="38" spans="1:53" x14ac:dyDescent="0.2">
      <c r="A38" s="52" t="str">
        <f>Historical!A42</f>
        <v>Current Maturities LTD</v>
      </c>
      <c r="B38" s="116"/>
      <c r="C38" s="117">
        <f>AVERAGE(H38:M38)</f>
        <v>1.9456396312311289E-2</v>
      </c>
      <c r="D38" s="122" t="s">
        <v>179</v>
      </c>
      <c r="E38" s="260" t="s">
        <v>221</v>
      </c>
      <c r="F38" s="55"/>
      <c r="G38" s="55">
        <f>Historical!L42/(Historical!L50)</f>
        <v>0.10115258902460003</v>
      </c>
      <c r="H38" s="55">
        <f>Historical!M42/(Historical!M50)</f>
        <v>3.0674846625766872E-3</v>
      </c>
      <c r="I38" s="55">
        <f>Historical!N42/(Historical!N50)</f>
        <v>4.0491355777979979E-2</v>
      </c>
      <c r="J38" s="55">
        <f>Historical!O42/(Historical!O50)</f>
        <v>3.5848772405482753E-2</v>
      </c>
      <c r="K38" s="55">
        <f>Historical!P42/(Historical!P50)</f>
        <v>1.9462599854756717E-2</v>
      </c>
      <c r="L38" s="55">
        <f>Historical!Q42/(Historical!Q50)</f>
        <v>9.6072336818310254E-3</v>
      </c>
      <c r="M38" s="55">
        <f>Historical!R42/(Historical!R50)</f>
        <v>8.2609314912405647E-3</v>
      </c>
      <c r="N38" s="55">
        <f>AVERAGE(G38:M38)</f>
        <v>3.1127280985495394E-2</v>
      </c>
      <c r="T38" s="2"/>
    </row>
    <row r="39" spans="1:53" x14ac:dyDescent="0.2">
      <c r="A39" s="52" t="str">
        <f>Historical!A43</f>
        <v>Short-term Debt</v>
      </c>
      <c r="B39" s="116"/>
      <c r="C39" s="117">
        <f>AVERAGE(G39,I39:M39)</f>
        <v>2.6064381083469811E-3</v>
      </c>
      <c r="D39" s="258" t="s">
        <v>175</v>
      </c>
      <c r="E39" s="260" t="s">
        <v>231</v>
      </c>
      <c r="G39" s="55">
        <f>Historical!L43/Historical!L38</f>
        <v>1.7869552268440386E-3</v>
      </c>
      <c r="H39" s="55">
        <f>Historical!M43/Historical!M38</f>
        <v>3.2597365678006252E-2</v>
      </c>
      <c r="I39" s="55">
        <f>Historical!N43/Historical!N38</f>
        <v>0</v>
      </c>
      <c r="J39" s="55">
        <f>Historical!O43/Historical!O38</f>
        <v>0</v>
      </c>
      <c r="K39" s="55">
        <f>Historical!P43/Historical!P38</f>
        <v>9.0069804098176086E-4</v>
      </c>
      <c r="L39" s="55">
        <f>Historical!Q43/Historical!Q38</f>
        <v>8.9417445343586532E-4</v>
      </c>
      <c r="M39" s="55">
        <f>Historical!R43/Historical!R38</f>
        <v>1.205680092882022E-2</v>
      </c>
      <c r="N39" s="55">
        <f t="shared" ref="N39:N49" si="3">AVERAGE(G39:M39)</f>
        <v>6.8908563325840184E-3</v>
      </c>
      <c r="T39" s="2"/>
    </row>
    <row r="40" spans="1:53" x14ac:dyDescent="0.2">
      <c r="A40" s="52" t="str">
        <f>Historical!A44</f>
        <v>Accounts Payable</v>
      </c>
      <c r="B40" s="120"/>
      <c r="C40" s="117">
        <f>AVERAGE(I40:M40)</f>
        <v>9.0193597563053257E-2</v>
      </c>
      <c r="D40" s="258" t="s">
        <v>207</v>
      </c>
      <c r="E40" s="257" t="s">
        <v>223</v>
      </c>
      <c r="F40" s="55"/>
      <c r="G40" s="55">
        <f>Historical!L44/Historical!L78</f>
        <v>0.10807761732851985</v>
      </c>
      <c r="H40" s="55">
        <f>Historical!M44/Historical!M78</f>
        <v>0.12690798081116442</v>
      </c>
      <c r="I40" s="55">
        <f>Historical!N44/Historical!N78</f>
        <v>9.5657517410897175E-2</v>
      </c>
      <c r="J40" s="55">
        <f>Historical!O44/Historical!O78</f>
        <v>9.7921119098503984E-2</v>
      </c>
      <c r="K40" s="55">
        <f>Historical!P44/Historical!P78</f>
        <v>8.8537699923838531E-2</v>
      </c>
      <c r="L40" s="55">
        <f>Historical!Q44/Historical!Q78</f>
        <v>9.0405198776758414E-2</v>
      </c>
      <c r="M40" s="55">
        <f>Historical!R44/Historical!R78</f>
        <v>7.8446452605268224E-2</v>
      </c>
      <c r="N40" s="55">
        <f t="shared" si="3"/>
        <v>9.7993369422135795E-2</v>
      </c>
      <c r="T40" s="2"/>
    </row>
    <row r="41" spans="1:53" x14ac:dyDescent="0.2">
      <c r="A41" s="52" t="str">
        <f>Historical!A45</f>
        <v>Accrued Expenses</v>
      </c>
      <c r="B41" s="120"/>
      <c r="C41" s="117">
        <f>N41</f>
        <v>1.1396013786881737E-2</v>
      </c>
      <c r="D41" s="258" t="s">
        <v>209</v>
      </c>
      <c r="E41" s="257"/>
      <c r="F41" s="55"/>
      <c r="G41" s="55">
        <f>Historical!L45/Historical!L$38</f>
        <v>1.2607961878288493E-2</v>
      </c>
      <c r="H41" s="55">
        <f>Historical!M45/Historical!M$38</f>
        <v>1.1513313749644651E-2</v>
      </c>
      <c r="I41" s="55">
        <f>Historical!N45/Historical!N$38</f>
        <v>1.1229749631811487E-2</v>
      </c>
      <c r="J41" s="55">
        <f>Historical!O45/Historical!O$38</f>
        <v>1.1404035274020037E-2</v>
      </c>
      <c r="K41" s="55">
        <f>Historical!P45/Historical!P$38</f>
        <v>1.1033551002026571E-2</v>
      </c>
      <c r="L41" s="55">
        <f>Historical!Q45/Historical!Q$38</f>
        <v>1.1043054499932937E-2</v>
      </c>
      <c r="M41" s="55">
        <f>Historical!R45/Historical!R$38</f>
        <v>1.0940430472447978E-2</v>
      </c>
      <c r="N41" s="55">
        <f t="shared" si="3"/>
        <v>1.1396013786881737E-2</v>
      </c>
      <c r="T41" s="2"/>
    </row>
    <row r="42" spans="1:53" x14ac:dyDescent="0.2">
      <c r="A42" s="52" t="str">
        <f>Historical!A46</f>
        <v>Derivative Contacts</v>
      </c>
      <c r="B42" s="120"/>
      <c r="C42" s="117">
        <v>0</v>
      </c>
      <c r="D42" s="258" t="s">
        <v>207</v>
      </c>
      <c r="E42" s="257" t="s">
        <v>224</v>
      </c>
      <c r="F42" s="55"/>
      <c r="G42" s="55">
        <f>Historical!L46/Historical!L78</f>
        <v>1.895306859205776E-2</v>
      </c>
      <c r="H42" s="55">
        <f>Historical!M46/Historical!M78</f>
        <v>1.9624945486262538E-2</v>
      </c>
      <c r="I42" s="55">
        <f>Historical!N46/Historical!N78</f>
        <v>1.0036870135190496E-2</v>
      </c>
      <c r="J42" s="55">
        <f>Historical!O46/Historical!O78</f>
        <v>5.2457742374198563E-3</v>
      </c>
      <c r="K42" s="55">
        <f>Historical!P46/Historical!P78</f>
        <v>0</v>
      </c>
      <c r="L42" s="55">
        <f>Historical!Q46/Historical!Q78</f>
        <v>0</v>
      </c>
      <c r="M42" s="55">
        <f>Historical!R46/Historical!R78</f>
        <v>0</v>
      </c>
      <c r="N42" s="55">
        <f t="shared" si="3"/>
        <v>7.6943797787043791E-3</v>
      </c>
      <c r="T42" s="2"/>
    </row>
    <row r="43" spans="1:53" x14ac:dyDescent="0.2">
      <c r="A43" s="52" t="str">
        <f>Historical!A47</f>
        <v xml:space="preserve">Other </v>
      </c>
      <c r="B43" s="120"/>
      <c r="C43" s="117">
        <f>AVERAGE(I43:M43)</f>
        <v>1.1352408524347993E-2</v>
      </c>
      <c r="D43" s="122" t="s">
        <v>134</v>
      </c>
      <c r="E43" s="257" t="s">
        <v>223</v>
      </c>
      <c r="G43" s="55">
        <f>Historical!AG47</f>
        <v>6.0061550680035741E-3</v>
      </c>
      <c r="H43" s="55">
        <f>Historical!AH47</f>
        <v>9.0969392589784898E-3</v>
      </c>
      <c r="I43" s="55">
        <f>Historical!AI47</f>
        <v>1.1828055964653902E-2</v>
      </c>
      <c r="J43" s="55">
        <f>Historical!AJ47</f>
        <v>1.1911907290271943E-2</v>
      </c>
      <c r="K43" s="55">
        <f>Historical!AK47</f>
        <v>1.1528934924566539E-2</v>
      </c>
      <c r="L43" s="55">
        <f>Historical!AL47</f>
        <v>1.1758394062681629E-2</v>
      </c>
      <c r="M43" s="55">
        <f>Historical!AM47</f>
        <v>9.7347503795659554E-3</v>
      </c>
      <c r="N43" s="55">
        <f t="shared" si="3"/>
        <v>1.026644813553172E-2</v>
      </c>
      <c r="T43" s="2"/>
    </row>
    <row r="44" spans="1:53" x14ac:dyDescent="0.2">
      <c r="A44" s="172" t="str">
        <f>Historical!A48</f>
        <v>Total Current Liabilities</v>
      </c>
      <c r="B44" s="120"/>
      <c r="C44" s="117"/>
      <c r="D44" s="241" t="s">
        <v>176</v>
      </c>
      <c r="E44" s="113"/>
      <c r="F44" s="84"/>
      <c r="G44" s="84"/>
      <c r="H44" s="84"/>
      <c r="I44" s="84"/>
      <c r="N44" s="55"/>
      <c r="T44" s="2"/>
    </row>
    <row r="45" spans="1:53" x14ac:dyDescent="0.2">
      <c r="B45" s="120"/>
      <c r="C45" s="117"/>
      <c r="F45" s="84"/>
      <c r="G45" s="84">
        <f t="shared" ref="G45:K45" si="4">G37</f>
        <v>2010</v>
      </c>
      <c r="H45" s="84">
        <f t="shared" si="4"/>
        <v>2011</v>
      </c>
      <c r="I45" s="84">
        <f t="shared" si="4"/>
        <v>2012</v>
      </c>
      <c r="J45" s="84">
        <f t="shared" si="4"/>
        <v>2013</v>
      </c>
      <c r="K45" s="84">
        <f t="shared" si="4"/>
        <v>2014</v>
      </c>
      <c r="L45" s="84">
        <f t="shared" ref="L45:M45" si="5">L37</f>
        <v>2015</v>
      </c>
      <c r="M45" s="84">
        <f t="shared" si="5"/>
        <v>2016</v>
      </c>
      <c r="N45" s="55"/>
      <c r="T45" s="2"/>
    </row>
    <row r="46" spans="1:53" ht="25.5" x14ac:dyDescent="0.2">
      <c r="A46" s="172" t="str">
        <f>Historical!A50</f>
        <v>Long-Term Debt</v>
      </c>
      <c r="B46" s="120"/>
      <c r="C46" s="117"/>
      <c r="D46" s="122" t="s">
        <v>188</v>
      </c>
      <c r="F46" s="55"/>
      <c r="G46" s="55">
        <f>Historical!L50/Historical!L28</f>
        <v>0.35462420693020985</v>
      </c>
      <c r="H46" s="55">
        <f>Historical!M50/Historical!M28</f>
        <v>0.35650972717854262</v>
      </c>
      <c r="I46" s="55">
        <f>Historical!N50/Historical!N28</f>
        <v>0.36517693969097859</v>
      </c>
      <c r="J46" s="55">
        <f>Historical!O50/Historical!O28</f>
        <v>0.35872912951856056</v>
      </c>
      <c r="K46" s="55">
        <f>Historical!P50/Historical!P28</f>
        <v>0.36780810940755382</v>
      </c>
      <c r="L46" s="55">
        <f>Historical!Q50/Historical!Q28</f>
        <v>0.37201723956690846</v>
      </c>
      <c r="M46" s="55">
        <f>Historical!R50/Historical!R28</f>
        <v>0.36640225446195596</v>
      </c>
      <c r="N46" s="55">
        <f t="shared" si="3"/>
        <v>0.36303822953638715</v>
      </c>
      <c r="T46" s="2"/>
    </row>
    <row r="47" spans="1:53" x14ac:dyDescent="0.2">
      <c r="A47" s="52" t="str">
        <f>Historical!A51</f>
        <v>Deferred Income Taxes</v>
      </c>
      <c r="B47" s="120"/>
      <c r="C47" s="117">
        <f>M47</f>
        <v>0.25467070243189643</v>
      </c>
      <c r="D47" s="261" t="s">
        <v>217</v>
      </c>
      <c r="E47" s="323">
        <v>2016</v>
      </c>
      <c r="F47" s="84"/>
      <c r="G47" s="55">
        <f>Historical!L51/Historical!L28</f>
        <v>0.21034651049292338</v>
      </c>
      <c r="H47" s="55">
        <f>Historical!M51/Historical!M28</f>
        <v>0.22234373201335328</v>
      </c>
      <c r="I47" s="55">
        <f>Historical!N51/Historical!N28</f>
        <v>0.23082461095420059</v>
      </c>
      <c r="J47" s="55">
        <f>Historical!O51/Historical!O28</f>
        <v>0.2355325012157562</v>
      </c>
      <c r="K47" s="55">
        <f>Historical!P51/Historical!P28</f>
        <v>0.2447246113574443</v>
      </c>
      <c r="L47" s="55">
        <f>Historical!Q51/Historical!Q28</f>
        <v>0.24965836224114371</v>
      </c>
      <c r="M47" s="55">
        <f>Historical!R51/Historical!R28</f>
        <v>0.25467070243189643</v>
      </c>
      <c r="N47" s="55">
        <f t="shared" si="3"/>
        <v>0.23544300438667398</v>
      </c>
      <c r="T47" s="2"/>
    </row>
    <row r="48" spans="1:53" x14ac:dyDescent="0.2">
      <c r="A48" s="52" t="str">
        <f>Historical!A52</f>
        <v>Derivative Contracts</v>
      </c>
      <c r="B48" s="120"/>
      <c r="C48" s="117">
        <v>0</v>
      </c>
      <c r="D48" s="258" t="s">
        <v>207</v>
      </c>
      <c r="E48" s="257" t="s">
        <v>239</v>
      </c>
      <c r="F48" s="55"/>
      <c r="G48" s="55">
        <f>Historical!L46/Historical!L81</f>
        <v>5.19159456118665E-2</v>
      </c>
      <c r="H48" s="55">
        <f>Historical!M46/Historical!M81</f>
        <v>5.5012224938875302E-2</v>
      </c>
      <c r="I48" s="55">
        <f>Historical!N46/Historical!N81</f>
        <v>2.6952695269526952E-2</v>
      </c>
      <c r="J48" s="55">
        <f>Historical!O46/Historical!O81</f>
        <v>1.4033264033264034E-2</v>
      </c>
      <c r="K48" s="55">
        <f>Historical!P46/Historical!P81</f>
        <v>0</v>
      </c>
      <c r="L48" s="55">
        <f>Historical!Q46/Historical!Q81</f>
        <v>0</v>
      </c>
      <c r="M48" s="55">
        <f>Historical!R46/Historical!R81</f>
        <v>0</v>
      </c>
      <c r="N48" s="55">
        <f t="shared" si="3"/>
        <v>2.1130589979076114E-2</v>
      </c>
      <c r="T48" s="2"/>
    </row>
    <row r="49" spans="1:55" x14ac:dyDescent="0.2">
      <c r="A49" s="52" t="str">
        <f>Historical!A53</f>
        <v>Other Long-term Liabilities</v>
      </c>
      <c r="B49" s="120"/>
      <c r="C49" s="117">
        <f>N49</f>
        <v>8.4299528145373753E-2</v>
      </c>
      <c r="D49" s="261" t="s">
        <v>175</v>
      </c>
      <c r="E49" s="114"/>
      <c r="G49" s="55">
        <f>Historical!AG53</f>
        <v>8.0065521691650945E-2</v>
      </c>
      <c r="H49" s="55">
        <f>Historical!AH53</f>
        <v>8.7984459395432577E-2</v>
      </c>
      <c r="I49" s="55">
        <f>Historical!AI53</f>
        <v>9.2599410898379975E-2</v>
      </c>
      <c r="J49" s="55">
        <f>Historical!AJ53</f>
        <v>7.267186850731798E-2</v>
      </c>
      <c r="K49" s="55">
        <f>Historical!AK53</f>
        <v>8.3900022517451031E-2</v>
      </c>
      <c r="L49" s="55">
        <f>Historical!AL53</f>
        <v>8.7852640050073774E-2</v>
      </c>
      <c r="M49" s="55">
        <f>Historical!AM53</f>
        <v>8.5022773957309991E-2</v>
      </c>
      <c r="N49" s="55">
        <f t="shared" si="3"/>
        <v>8.4299528145373753E-2</v>
      </c>
      <c r="T49" s="2"/>
    </row>
    <row r="50" spans="1:55" x14ac:dyDescent="0.2">
      <c r="A50" s="52" t="str">
        <f>Historical!A54</f>
        <v>Total LTD &amp; Deferrals</v>
      </c>
      <c r="B50" s="120"/>
      <c r="C50" s="116"/>
      <c r="D50" s="241" t="s">
        <v>176</v>
      </c>
      <c r="N50" s="52"/>
      <c r="O50" s="52"/>
      <c r="T50" s="2"/>
      <c r="U50" s="2"/>
      <c r="Z50" s="52"/>
      <c r="AB50"/>
      <c r="BB50" s="52"/>
      <c r="BC50" s="52"/>
    </row>
    <row r="51" spans="1:55" x14ac:dyDescent="0.2">
      <c r="A51" s="52" t="str">
        <f>Historical!A56</f>
        <v>Total Liabilities</v>
      </c>
      <c r="B51" s="116"/>
      <c r="C51" s="117"/>
      <c r="D51" s="241" t="s">
        <v>176</v>
      </c>
      <c r="N51" s="52"/>
      <c r="O51" s="52"/>
      <c r="T51" s="2"/>
      <c r="U51" s="2"/>
      <c r="Z51" s="52"/>
      <c r="AB51"/>
      <c r="BB51" s="52"/>
      <c r="BC51" s="52"/>
    </row>
    <row r="52" spans="1:55" x14ac:dyDescent="0.2">
      <c r="B52" s="120"/>
      <c r="C52" s="116"/>
      <c r="D52" s="124"/>
      <c r="N52" s="52"/>
      <c r="O52" s="52"/>
      <c r="T52" s="2"/>
      <c r="U52" s="2"/>
      <c r="Z52" s="52"/>
      <c r="AB52"/>
      <c r="BB52" s="52"/>
      <c r="BC52" s="52"/>
    </row>
    <row r="53" spans="1:55" x14ac:dyDescent="0.2">
      <c r="A53" s="52" t="str">
        <f>Historical!A58</f>
        <v>Preferred Stock</v>
      </c>
      <c r="B53" s="116"/>
      <c r="C53" s="116">
        <v>2</v>
      </c>
      <c r="D53" s="256" t="s">
        <v>240</v>
      </c>
      <c r="E53" s="123"/>
      <c r="N53" s="52"/>
      <c r="O53" s="52"/>
      <c r="T53" s="2"/>
      <c r="U53" s="2"/>
      <c r="Z53" s="52"/>
      <c r="AB53"/>
      <c r="BB53" s="52"/>
      <c r="BC53" s="52"/>
    </row>
    <row r="54" spans="1:55" x14ac:dyDescent="0.2">
      <c r="B54" s="116"/>
      <c r="C54" s="117"/>
      <c r="D54" s="241"/>
      <c r="N54" s="52"/>
      <c r="O54" s="52"/>
      <c r="T54" s="2"/>
      <c r="U54" s="2"/>
      <c r="Z54" s="52"/>
      <c r="AB54"/>
      <c r="BB54" s="52"/>
      <c r="BC54" s="52"/>
    </row>
    <row r="55" spans="1:55" x14ac:dyDescent="0.2">
      <c r="A55" s="172" t="str">
        <f>Historical!A60</f>
        <v>Common Equity:</v>
      </c>
      <c r="B55" s="116"/>
      <c r="C55" s="116"/>
      <c r="D55" s="241"/>
    </row>
    <row r="56" spans="1:55" x14ac:dyDescent="0.2">
      <c r="A56" s="52" t="str">
        <f>Historical!A61</f>
        <v>Common Stock</v>
      </c>
      <c r="B56" s="116"/>
      <c r="C56" s="117"/>
      <c r="D56" s="241" t="s">
        <v>181</v>
      </c>
      <c r="E56" s="115"/>
    </row>
    <row r="57" spans="1:55" x14ac:dyDescent="0.2">
      <c r="A57" s="52" t="str">
        <f>Historical!A62</f>
        <v>Retained Earnings</v>
      </c>
      <c r="B57" s="116"/>
      <c r="C57" s="117"/>
      <c r="D57" s="241" t="s">
        <v>176</v>
      </c>
    </row>
    <row r="58" spans="1:55" x14ac:dyDescent="0.2">
      <c r="A58" s="172" t="str">
        <f>Historical!A63</f>
        <v>Total Common Equity</v>
      </c>
      <c r="B58" s="116"/>
      <c r="C58" s="121"/>
      <c r="D58" s="241" t="s">
        <v>176</v>
      </c>
      <c r="E58" s="114"/>
    </row>
    <row r="59" spans="1:55" x14ac:dyDescent="0.2">
      <c r="A59" s="172" t="str">
        <f>Historical!A64</f>
        <v>Total Liabilities &amp; Equity</v>
      </c>
      <c r="B59" s="116"/>
      <c r="C59" s="117"/>
      <c r="D59" s="241" t="s">
        <v>176</v>
      </c>
    </row>
    <row r="60" spans="1:55" x14ac:dyDescent="0.2">
      <c r="B60" s="116"/>
      <c r="C60" s="117"/>
      <c r="D60" s="125"/>
    </row>
    <row r="61" spans="1:55" ht="25.5" x14ac:dyDescent="0.2">
      <c r="A61" s="52" t="str">
        <f>Historical!A77</f>
        <v>Revenues</v>
      </c>
      <c r="B61" s="55"/>
      <c r="C61" s="55">
        <f>Historical!$T$77</f>
        <v>2.5487947926666706E-2</v>
      </c>
      <c r="D61" s="258" t="s">
        <v>246</v>
      </c>
      <c r="E61" s="258" t="s">
        <v>248</v>
      </c>
    </row>
    <row r="62" spans="1:55" x14ac:dyDescent="0.2">
      <c r="A62" s="172" t="str">
        <f>Historical!A78</f>
        <v>Total Revenues</v>
      </c>
      <c r="B62" s="55"/>
      <c r="C62" s="55"/>
      <c r="D62" s="241" t="s">
        <v>176</v>
      </c>
    </row>
    <row r="63" spans="1:55" x14ac:dyDescent="0.2">
      <c r="B63" s="55"/>
      <c r="C63" s="55"/>
    </row>
    <row r="64" spans="1:55" x14ac:dyDescent="0.2">
      <c r="A64" s="172" t="str">
        <f>Historical!A80</f>
        <v>Operating Expenses:</v>
      </c>
      <c r="B64" s="55"/>
      <c r="C64" s="55"/>
      <c r="G64" s="84">
        <f t="shared" ref="G64:K64" si="6">G45</f>
        <v>2010</v>
      </c>
      <c r="H64" s="84">
        <f t="shared" si="6"/>
        <v>2011</v>
      </c>
      <c r="I64" s="84">
        <f t="shared" si="6"/>
        <v>2012</v>
      </c>
      <c r="J64" s="84">
        <f t="shared" si="6"/>
        <v>2013</v>
      </c>
      <c r="K64" s="84">
        <f t="shared" si="6"/>
        <v>2014</v>
      </c>
      <c r="L64" s="84">
        <f t="shared" ref="L64:M64" si="7">L45</f>
        <v>2015</v>
      </c>
      <c r="M64" s="84">
        <f t="shared" si="7"/>
        <v>2016</v>
      </c>
      <c r="N64" s="267" t="s">
        <v>3</v>
      </c>
      <c r="T64" s="2"/>
    </row>
    <row r="65" spans="1:54" x14ac:dyDescent="0.2">
      <c r="A65" s="52" t="str">
        <f>Historical!A81</f>
        <v>Energy Costs</v>
      </c>
      <c r="B65" s="55"/>
      <c r="C65" s="55">
        <f>+C4</f>
        <v>2.5000000000000001E-2</v>
      </c>
      <c r="D65" s="258" t="s">
        <v>230</v>
      </c>
      <c r="F65" s="84"/>
      <c r="N65" s="52"/>
      <c r="O65" s="267"/>
      <c r="P65" s="267"/>
      <c r="T65" s="2"/>
    </row>
    <row r="66" spans="1:54" ht="51" x14ac:dyDescent="0.2">
      <c r="A66" s="52" t="str">
        <f>Historical!A82</f>
        <v>Other operations and maintenance</v>
      </c>
      <c r="B66" s="55"/>
      <c r="C66" s="55">
        <f>AVERAGE(C4,Historical!T82)</f>
        <v>8.9130928325443191E-3</v>
      </c>
      <c r="D66" s="258" t="s">
        <v>225</v>
      </c>
      <c r="E66" s="324">
        <f>(0.025-C66)/3</f>
        <v>5.3623023891518941E-3</v>
      </c>
      <c r="N66" s="52"/>
      <c r="T66" s="2"/>
    </row>
    <row r="67" spans="1:54" x14ac:dyDescent="0.2">
      <c r="A67" s="52" t="str">
        <f>Historical!A83</f>
        <v>Depreciation and amortization</v>
      </c>
      <c r="B67" s="55"/>
      <c r="C67" s="55">
        <f>AVERAGE(K67:M67)</f>
        <v>2.8208073283452883E-2</v>
      </c>
      <c r="D67" s="258" t="s">
        <v>241</v>
      </c>
      <c r="E67" s="257"/>
      <c r="F67" s="55"/>
      <c r="G67" s="55">
        <f>Historical!L83/Historical!L20</f>
        <v>2.5460651720068984E-2</v>
      </c>
      <c r="H67" s="55">
        <f>Historical!M83/Historical!M20</f>
        <v>2.6501843417913683E-2</v>
      </c>
      <c r="I67" s="55">
        <f>Historical!N83/Historical!N20</f>
        <v>2.664002664002664E-2</v>
      </c>
      <c r="J67" s="55">
        <f>Historical!O83/Historical!O20</f>
        <v>2.7143316712240632E-2</v>
      </c>
      <c r="K67" s="55">
        <f>Historical!P83/Historical!P20</f>
        <v>2.8125363189090768E-2</v>
      </c>
      <c r="L67" s="55">
        <f>Historical!Q83/Historical!Q20</f>
        <v>2.8291661994991963E-2</v>
      </c>
      <c r="M67" s="55">
        <f>Historical!R83/Historical!R20</f>
        <v>2.8207194666275918E-2</v>
      </c>
      <c r="N67" s="55">
        <f>AVERAGE(K67:M67)</f>
        <v>2.8208073283452883E-2</v>
      </c>
      <c r="T67" s="2"/>
    </row>
    <row r="68" spans="1:54" x14ac:dyDescent="0.2">
      <c r="A68" s="52" t="str">
        <f>Historical!A84</f>
        <v>Taxes, other than income taxes</v>
      </c>
      <c r="B68" s="55"/>
      <c r="C68" s="55">
        <f>M68</f>
        <v>9.9154576766517059E-3</v>
      </c>
      <c r="D68" s="258" t="s">
        <v>210</v>
      </c>
      <c r="E68" s="323" t="s">
        <v>242</v>
      </c>
      <c r="G68" s="55">
        <f>Historical!L84/Historical!L28</f>
        <v>8.2967301122498782E-3</v>
      </c>
      <c r="H68" s="55">
        <f>Historical!M84/Historical!M28</f>
        <v>8.7487049614366295E-3</v>
      </c>
      <c r="I68" s="55">
        <f>Historical!N84/Historical!N28</f>
        <v>8.9162097801406652E-3</v>
      </c>
      <c r="J68" s="55">
        <f>Historical!O84/Historical!O28</f>
        <v>9.1857135138055865E-3</v>
      </c>
      <c r="K68" s="55">
        <f>Historical!P84/Historical!P28</f>
        <v>9.1885250280463703E-3</v>
      </c>
      <c r="L68" s="55">
        <f>Historical!Q84/Historical!Q28</f>
        <v>9.7235362136024392E-3</v>
      </c>
      <c r="M68" s="55">
        <f>Historical!R84/Historical!R28</f>
        <v>9.9154576766517059E-3</v>
      </c>
      <c r="N68" s="55">
        <f>AVERAGE(L68:M68)</f>
        <v>9.8194969451270726E-3</v>
      </c>
      <c r="T68" s="2"/>
    </row>
    <row r="69" spans="1:54" ht="12.75" hidden="1" customHeight="1" x14ac:dyDescent="0.2">
      <c r="A69" s="52" t="str">
        <f>Historical!A85</f>
        <v>Other Operating Expenses</v>
      </c>
      <c r="B69" s="55"/>
      <c r="C69" s="55"/>
      <c r="N69" s="55" t="e">
        <f>AVERAGE(G69:M69)</f>
        <v>#DIV/0!</v>
      </c>
      <c r="T69" s="2"/>
    </row>
    <row r="70" spans="1:54" x14ac:dyDescent="0.2">
      <c r="A70" s="52" t="str">
        <f>Historical!A86</f>
        <v>Total Operating Expenses</v>
      </c>
      <c r="B70" s="55"/>
      <c r="C70" s="55"/>
      <c r="D70" s="241" t="s">
        <v>176</v>
      </c>
      <c r="N70" s="55"/>
      <c r="T70" s="2"/>
    </row>
    <row r="71" spans="1:54" x14ac:dyDescent="0.2">
      <c r="A71" s="52" t="str">
        <f>Historical!A87</f>
        <v>Earnings From Operations</v>
      </c>
      <c r="B71" s="55"/>
      <c r="C71" s="55"/>
      <c r="D71" s="241" t="s">
        <v>176</v>
      </c>
      <c r="N71" s="55"/>
      <c r="T71" s="2"/>
    </row>
    <row r="72" spans="1:54" x14ac:dyDescent="0.2">
      <c r="B72" s="55"/>
      <c r="C72" s="55"/>
      <c r="N72" s="55"/>
      <c r="T72" s="2"/>
    </row>
    <row r="73" spans="1:54" ht="25.5" x14ac:dyDescent="0.2">
      <c r="A73" s="52" t="str">
        <f>Forecast!A91</f>
        <v>Interest expense (net)</v>
      </c>
      <c r="B73" s="55"/>
      <c r="C73" s="55">
        <f>M73</f>
        <v>4.9666621309021636E-2</v>
      </c>
      <c r="D73" s="258" t="s">
        <v>229</v>
      </c>
      <c r="E73" s="257"/>
      <c r="G73" s="55">
        <f>Historical!L89/(Historical!L42+Historical!L43+Historical!L50)</f>
        <v>5.3130340220599662E-2</v>
      </c>
      <c r="H73" s="55">
        <f>Historical!M89/(Historical!M42+Historical!M43+Historical!M50)</f>
        <v>5.3180698449500075E-2</v>
      </c>
      <c r="I73" s="55">
        <f>Historical!N89/(Historical!N42+Historical!N43+Historical!N50)</f>
        <v>5.1158723218189768E-2</v>
      </c>
      <c r="J73" s="55">
        <f>Historical!O89/(Historical!O42+Historical!O43+Historical!O50)</f>
        <v>5.0894285298822159E-2</v>
      </c>
      <c r="K73" s="55">
        <f>Historical!P89/(Historical!P42+Historical!P43+Historical!P50)</f>
        <v>5.0291234550362267E-2</v>
      </c>
      <c r="L73" s="55">
        <f>Historical!Q89/(Historical!Q42+Historical!Q43+Historical!Q50)</f>
        <v>5.0376779235277704E-2</v>
      </c>
      <c r="M73" s="55">
        <f>Historical!R89/(Historical!R42+Historical!R43+Historical!R50)</f>
        <v>4.9666621309021636E-2</v>
      </c>
      <c r="N73" s="55">
        <f>AVERAGE(G73:M73)</f>
        <v>5.1242668897396183E-2</v>
      </c>
      <c r="T73" s="2"/>
    </row>
    <row r="74" spans="1:54" x14ac:dyDescent="0.2">
      <c r="A74" s="52" t="str">
        <f>Forecast!A92</f>
        <v>Interest income</v>
      </c>
      <c r="C74" s="55">
        <f>C7</f>
        <v>0.01</v>
      </c>
      <c r="D74" s="122" t="s">
        <v>184</v>
      </c>
      <c r="N74" s="55"/>
      <c r="T74" s="2"/>
    </row>
    <row r="75" spans="1:54" hidden="1" x14ac:dyDescent="0.2">
      <c r="A75" s="52" t="str">
        <f>Forecast!A93</f>
        <v>Loss (Gain) on Sale of Assets</v>
      </c>
      <c r="N75" s="55"/>
      <c r="T75" s="2"/>
      <c r="Z75" s="52"/>
      <c r="AA75"/>
      <c r="BB75" s="52"/>
    </row>
    <row r="76" spans="1:54" ht="51" x14ac:dyDescent="0.2">
      <c r="A76" s="112" t="str">
        <f>Forecast!A94</f>
        <v>Interest Expense (Income) on Additional Loans (Surplus Cash)</v>
      </c>
      <c r="D76" s="122" t="s">
        <v>185</v>
      </c>
      <c r="N76" s="55"/>
      <c r="T76" s="2"/>
      <c r="Z76" s="52"/>
      <c r="AA76"/>
      <c r="BB76" s="52"/>
    </row>
    <row r="77" spans="1:54" ht="25.5" x14ac:dyDescent="0.2">
      <c r="A77" s="52" t="str">
        <f>Forecast!A95</f>
        <v>Other (Income) Expense</v>
      </c>
      <c r="C77" s="55">
        <f>N77</f>
        <v>-5.7493244065626049E-3</v>
      </c>
      <c r="D77" s="258" t="s">
        <v>249</v>
      </c>
      <c r="E77" s="257"/>
      <c r="G77" s="55">
        <f>Historical!AG92</f>
        <v>-1.759927797833935E-2</v>
      </c>
      <c r="H77" s="55">
        <f>Historical!AH92</f>
        <v>-1.0248582642825993E-2</v>
      </c>
      <c r="I77" s="55">
        <f>Historical!AI92</f>
        <v>-1.1880376894715281E-2</v>
      </c>
      <c r="J77" s="55">
        <f>Historical!AJ92</f>
        <v>-1.1074412278997475E-2</v>
      </c>
      <c r="K77" s="55">
        <f>Historical!AK92</f>
        <v>-9.7105864432597104E-3</v>
      </c>
      <c r="L77" s="55">
        <f>Historical!AL92</f>
        <v>-6.3073394495412848E-3</v>
      </c>
      <c r="M77" s="55">
        <f>Historical!AM92</f>
        <v>-5.1913093635839258E-3</v>
      </c>
      <c r="N77" s="55">
        <f>AVERAGE(L77:M77)</f>
        <v>-5.7493244065626049E-3</v>
      </c>
      <c r="T77" s="2"/>
    </row>
    <row r="78" spans="1:54" x14ac:dyDescent="0.2">
      <c r="A78" s="52" t="str">
        <f>Forecast!A96</f>
        <v>Total Other (Income)/Expense</v>
      </c>
      <c r="D78" s="241" t="s">
        <v>176</v>
      </c>
      <c r="N78" s="55"/>
      <c r="T78" s="2"/>
    </row>
    <row r="79" spans="1:54" x14ac:dyDescent="0.2">
      <c r="N79" s="52"/>
      <c r="T79" s="2"/>
    </row>
    <row r="80" spans="1:54" x14ac:dyDescent="0.2">
      <c r="A80" s="52" t="str">
        <f>Forecast!A98</f>
        <v>Earnings Before Taxes</v>
      </c>
      <c r="D80" s="241" t="s">
        <v>176</v>
      </c>
      <c r="N80" s="52"/>
      <c r="T80" s="2"/>
    </row>
    <row r="81" spans="1:54" x14ac:dyDescent="0.2">
      <c r="F81" s="84"/>
      <c r="G81" s="84"/>
      <c r="H81" s="84"/>
      <c r="I81" s="84"/>
      <c r="J81" s="84"/>
      <c r="K81" s="84"/>
      <c r="L81" s="84"/>
      <c r="M81" s="84"/>
      <c r="N81" s="52"/>
      <c r="T81" s="2"/>
    </row>
    <row r="82" spans="1:54" x14ac:dyDescent="0.2">
      <c r="A82" s="52" t="str">
        <f>Forecast!A100</f>
        <v>Extraordinary Items</v>
      </c>
      <c r="C82" s="52">
        <v>0</v>
      </c>
      <c r="D82" s="122" t="s">
        <v>186</v>
      </c>
      <c r="F82" s="84"/>
      <c r="G82" s="84">
        <f t="shared" ref="G82:K82" si="8">G64</f>
        <v>2010</v>
      </c>
      <c r="H82" s="84">
        <f t="shared" si="8"/>
        <v>2011</v>
      </c>
      <c r="I82" s="84">
        <f t="shared" si="8"/>
        <v>2012</v>
      </c>
      <c r="J82" s="84">
        <f t="shared" si="8"/>
        <v>2013</v>
      </c>
      <c r="K82" s="84">
        <f t="shared" si="8"/>
        <v>2014</v>
      </c>
      <c r="L82" s="84">
        <f t="shared" ref="L82:M82" si="9">L64</f>
        <v>2015</v>
      </c>
      <c r="M82" s="84">
        <f t="shared" si="9"/>
        <v>2016</v>
      </c>
      <c r="N82" s="52" t="s">
        <v>3</v>
      </c>
      <c r="T82" s="2"/>
    </row>
    <row r="83" spans="1:54" x14ac:dyDescent="0.2">
      <c r="A83" s="52" t="str">
        <f>Forecast!A101</f>
        <v>Income Taxes</v>
      </c>
      <c r="C83" s="55">
        <f>N83</f>
        <v>0.3097746649673439</v>
      </c>
      <c r="D83" s="122" t="s">
        <v>187</v>
      </c>
      <c r="E83" s="260" t="s">
        <v>245</v>
      </c>
      <c r="F83" s="55"/>
      <c r="G83" s="55">
        <f>+Historical!L98/Historical!L95</f>
        <v>0.27155727155727155</v>
      </c>
      <c r="H83" s="55">
        <f>+Historical!M98/Historical!M95</f>
        <v>0.27734375</v>
      </c>
      <c r="I83" s="55">
        <f>+Historical!N98/Historical!N95</f>
        <v>0.26839237057220711</v>
      </c>
      <c r="J83" s="55">
        <f>+Historical!O98/Historical!O95</f>
        <v>0.30337078651685395</v>
      </c>
      <c r="K83" s="55">
        <f>+Historical!P98/Historical!P95</f>
        <v>0.30685203574975173</v>
      </c>
      <c r="L83" s="55">
        <f>+Historical!Q98/Historical!Q95</f>
        <v>0.32062561094819159</v>
      </c>
      <c r="M83" s="55">
        <f>+Historical!R98/Historical!R95</f>
        <v>0.30825022665457841</v>
      </c>
      <c r="N83" s="55">
        <f>AVERAGE(J83:M83)</f>
        <v>0.3097746649673439</v>
      </c>
      <c r="O83" s="5">
        <f>(0.33-N83)/7</f>
        <v>2.88933357609373E-3</v>
      </c>
      <c r="T83" s="2"/>
    </row>
    <row r="84" spans="1:54" x14ac:dyDescent="0.2">
      <c r="A84" s="52" t="str">
        <f>Forecast!A102</f>
        <v>Net Income</v>
      </c>
      <c r="D84" s="241" t="s">
        <v>176</v>
      </c>
      <c r="N84" s="52"/>
      <c r="T84" s="2"/>
    </row>
    <row r="85" spans="1:54" x14ac:dyDescent="0.2">
      <c r="N85" s="52"/>
      <c r="T85" s="2"/>
    </row>
    <row r="86" spans="1:54" x14ac:dyDescent="0.2">
      <c r="A86" s="52" t="str">
        <f>Forecast!A104</f>
        <v>Preferred Stock Dividends</v>
      </c>
      <c r="C86" s="52">
        <v>0</v>
      </c>
      <c r="D86" s="122" t="s">
        <v>177</v>
      </c>
      <c r="N86" s="52"/>
      <c r="T86" s="2"/>
      <c r="Z86" s="52"/>
      <c r="AA86"/>
      <c r="BB86" s="52"/>
    </row>
    <row r="87" spans="1:54" ht="38.25" x14ac:dyDescent="0.2">
      <c r="A87" s="52" t="str">
        <f>Forecast!A105</f>
        <v>Common Stock Dividends</v>
      </c>
      <c r="D87" s="122" t="s">
        <v>199</v>
      </c>
      <c r="N87" s="52"/>
      <c r="T87" s="2"/>
      <c r="Z87" s="52"/>
      <c r="AA87"/>
      <c r="BB87" s="52"/>
    </row>
    <row r="88" spans="1:54" x14ac:dyDescent="0.2">
      <c r="N88" s="52"/>
      <c r="T88" s="2"/>
      <c r="Z88" s="52"/>
      <c r="AA88"/>
      <c r="BB88" s="52"/>
    </row>
    <row r="89" spans="1:54" x14ac:dyDescent="0.2">
      <c r="N89" s="52"/>
      <c r="T89" s="2"/>
      <c r="Z89" s="52"/>
      <c r="AA89"/>
      <c r="BB89" s="52"/>
    </row>
    <row r="90" spans="1:54" x14ac:dyDescent="0.2">
      <c r="N90" s="52"/>
      <c r="T90" s="2"/>
      <c r="Z90" s="52"/>
      <c r="AA90"/>
      <c r="BB90" s="52"/>
    </row>
    <row r="91" spans="1:54" x14ac:dyDescent="0.2">
      <c r="N91" s="52"/>
      <c r="T91" s="2"/>
      <c r="Z91" s="52"/>
      <c r="AA91"/>
      <c r="BB91" s="52"/>
    </row>
    <row r="92" spans="1:54" x14ac:dyDescent="0.2">
      <c r="E92" s="113"/>
      <c r="N92" s="52"/>
      <c r="T92" s="2"/>
      <c r="Z92" s="52"/>
      <c r="AA92"/>
      <c r="BB92" s="52"/>
    </row>
    <row r="93" spans="1:54" x14ac:dyDescent="0.2">
      <c r="E93" s="113"/>
    </row>
    <row r="94" spans="1:54" x14ac:dyDescent="0.2">
      <c r="E94" s="113"/>
    </row>
    <row r="95" spans="1:54" x14ac:dyDescent="0.2">
      <c r="E95" s="113"/>
    </row>
    <row r="135" spans="5:5" x14ac:dyDescent="0.2">
      <c r="E135" s="113"/>
    </row>
    <row r="136" spans="5:5" x14ac:dyDescent="0.2">
      <c r="E136" s="113"/>
    </row>
    <row r="137" spans="5:5" x14ac:dyDescent="0.2">
      <c r="E137" s="113"/>
    </row>
    <row r="138" spans="5:5" x14ac:dyDescent="0.2">
      <c r="E138" s="113"/>
    </row>
  </sheetData>
  <phoneticPr fontId="6" type="noConversion"/>
  <pageMargins left="0.22" right="0.19" top="0.61" bottom="1" header="0.5" footer="0.5"/>
  <pageSetup scale="63" fitToHeight="2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Historical</vt:lpstr>
      <vt:lpstr>Historical CF</vt:lpstr>
      <vt:lpstr>Forecast</vt:lpstr>
      <vt:lpstr>Assumptions</vt:lpstr>
      <vt:lpstr>Assumptions!Print_Area</vt:lpstr>
      <vt:lpstr>Forecast!Print_Area</vt:lpstr>
      <vt:lpstr>Historical!Print_Area</vt:lpstr>
      <vt:lpstr>'Historical CF'!Print_Area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2017-05-30T15:24:33Z</dcterms:created>
  <dcterms:modified xsi:type="dcterms:W3CDTF">2017-05-30T15:47:08Z</dcterms:modified>
</cp:coreProperties>
</file>