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misc\25docs\2599902\"/>
    </mc:Choice>
  </mc:AlternateContent>
  <xr:revisionPtr revIDLastSave="0" documentId="8_{9A062DA7-8002-4F66-B3F4-2C808864D2BF}" xr6:coauthVersionLast="47" xr6:coauthVersionMax="47" xr10:uidLastSave="{00000000-0000-0000-0000-000000000000}"/>
  <bookViews>
    <workbookView xWindow="765" yWindow="570" windowWidth="25020" windowHeight="19845" xr2:uid="{00000000-000D-0000-FFFF-FFFF00000000}"/>
  </bookViews>
  <sheets>
    <sheet name="Historical - Exhibit 1" sheetId="5" r:id="rId1"/>
    <sheet name="Historical CF - Exhibit 1B" sheetId="6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SF">'Historical - Exhibit 1'!$T$195:$AX$222</definedName>
    <definedName name="_xlnm.Print_Area" localSheetId="0">'Historical - Exhibit 1'!$A$1:$AV$217</definedName>
    <definedName name="_xlnm.Print_Area" localSheetId="1">'Historical CF - Exhibit 1B'!$A$1:$AB$65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47" i="5" l="1"/>
  <c r="AU141" i="5"/>
  <c r="AU142" i="5"/>
  <c r="S171" i="5"/>
  <c r="Q152" i="5"/>
  <c r="P152" i="5"/>
  <c r="O152" i="5"/>
  <c r="N152" i="5"/>
  <c r="Q154" i="5"/>
  <c r="P154" i="5"/>
  <c r="O154" i="5"/>
  <c r="N154" i="5"/>
  <c r="R76" i="5"/>
  <c r="R75" i="5"/>
  <c r="AU67" i="5"/>
  <c r="AU66" i="5"/>
  <c r="R23" i="5"/>
  <c r="AB60" i="6"/>
  <c r="R97" i="5"/>
  <c r="S11" i="5"/>
  <c r="R8" i="5"/>
  <c r="S237" i="5"/>
  <c r="S236" i="5"/>
  <c r="S235" i="5"/>
  <c r="S228" i="5"/>
  <c r="S227" i="5"/>
  <c r="S226" i="5"/>
  <c r="S225" i="5"/>
  <c r="S224" i="5"/>
  <c r="S200" i="5"/>
  <c r="S199" i="5"/>
  <c r="S197" i="5"/>
  <c r="S196" i="5"/>
  <c r="S195" i="5"/>
  <c r="S194" i="5"/>
  <c r="S193" i="5"/>
  <c r="S182" i="5"/>
  <c r="S181" i="5"/>
  <c r="S180" i="5"/>
  <c r="S177" i="5"/>
  <c r="S176" i="5"/>
  <c r="S173" i="5"/>
  <c r="S172" i="5"/>
  <c r="S169" i="5"/>
  <c r="S154" i="5"/>
  <c r="S153" i="5"/>
  <c r="S152" i="5"/>
  <c r="S151" i="5"/>
  <c r="S150" i="5"/>
  <c r="S149" i="5"/>
  <c r="S148" i="5"/>
  <c r="S168" i="5"/>
  <c r="S161" i="5"/>
  <c r="S160" i="5"/>
  <c r="S159" i="5"/>
  <c r="S158" i="5"/>
  <c r="S157" i="5"/>
  <c r="S145" i="5"/>
  <c r="S144" i="5"/>
  <c r="S143" i="5"/>
  <c r="S142" i="5"/>
  <c r="S139" i="5"/>
  <c r="S138" i="5"/>
  <c r="S137" i="5"/>
  <c r="S119" i="5"/>
  <c r="S116" i="5"/>
  <c r="S115" i="5"/>
  <c r="S113" i="5"/>
  <c r="S111" i="5"/>
  <c r="S108" i="5"/>
  <c r="S107" i="5"/>
  <c r="S105" i="5"/>
  <c r="S104" i="5"/>
  <c r="S103" i="5"/>
  <c r="S101" i="5"/>
  <c r="S99" i="5"/>
  <c r="S98" i="5"/>
  <c r="S97" i="5"/>
  <c r="S94" i="5"/>
  <c r="S93" i="5"/>
  <c r="S92" i="5"/>
  <c r="S78" i="5"/>
  <c r="S77" i="5"/>
  <c r="S76" i="5"/>
  <c r="S75" i="5"/>
  <c r="S70" i="5"/>
  <c r="S68" i="5"/>
  <c r="S67" i="5"/>
  <c r="S65" i="5"/>
  <c r="S63" i="5"/>
  <c r="S62" i="5"/>
  <c r="S61" i="5"/>
  <c r="S59" i="5"/>
  <c r="S58" i="5"/>
  <c r="S55" i="5"/>
  <c r="S54" i="5"/>
  <c r="S53" i="5"/>
  <c r="S52" i="5"/>
  <c r="S51" i="5"/>
  <c r="S50" i="5"/>
  <c r="S47" i="5"/>
  <c r="S44" i="5"/>
  <c r="S43" i="5"/>
  <c r="S42" i="5"/>
  <c r="S41" i="5"/>
  <c r="S38" i="5"/>
  <c r="S34" i="5"/>
  <c r="S32" i="5"/>
  <c r="S30" i="5"/>
  <c r="S29" i="5"/>
  <c r="S28" i="5"/>
  <c r="S27" i="5"/>
  <c r="S24" i="5"/>
  <c r="S23" i="5"/>
  <c r="S22" i="5"/>
  <c r="S18" i="5"/>
  <c r="S16" i="5"/>
  <c r="S13" i="5"/>
  <c r="AV136" i="5"/>
  <c r="AV123" i="5"/>
  <c r="AV116" i="5"/>
  <c r="AV115" i="5"/>
  <c r="AV113" i="5"/>
  <c r="AV111" i="5"/>
  <c r="AV108" i="5"/>
  <c r="AV107" i="5"/>
  <c r="AV105" i="5"/>
  <c r="AV104" i="5"/>
  <c r="AV103" i="5"/>
  <c r="AV101" i="5"/>
  <c r="AV100" i="5"/>
  <c r="AV99" i="5"/>
  <c r="AV98" i="5"/>
  <c r="AV97" i="5"/>
  <c r="AV94" i="5"/>
  <c r="AV93" i="5"/>
  <c r="AV92" i="5"/>
  <c r="AT123" i="5"/>
  <c r="AS123" i="5"/>
  <c r="AR123" i="5"/>
  <c r="AT116" i="5"/>
  <c r="AS116" i="5"/>
  <c r="AR116" i="5"/>
  <c r="AT115" i="5"/>
  <c r="AS115" i="5"/>
  <c r="AR115" i="5"/>
  <c r="AT113" i="5"/>
  <c r="AS113" i="5"/>
  <c r="AR113" i="5"/>
  <c r="AT111" i="5"/>
  <c r="AS111" i="5"/>
  <c r="AR111" i="5"/>
  <c r="AT108" i="5"/>
  <c r="AS108" i="5"/>
  <c r="AR108" i="5"/>
  <c r="AT107" i="5"/>
  <c r="AS107" i="5"/>
  <c r="AR107" i="5"/>
  <c r="AT105" i="5"/>
  <c r="AS105" i="5"/>
  <c r="AR105" i="5"/>
  <c r="AT104" i="5"/>
  <c r="AS104" i="5"/>
  <c r="AR104" i="5"/>
  <c r="AT103" i="5"/>
  <c r="AS103" i="5"/>
  <c r="AR103" i="5"/>
  <c r="AT101" i="5"/>
  <c r="AS101" i="5"/>
  <c r="AR101" i="5"/>
  <c r="AT100" i="5"/>
  <c r="AS100" i="5"/>
  <c r="AR100" i="5"/>
  <c r="AT99" i="5"/>
  <c r="AS99" i="5"/>
  <c r="AR99" i="5"/>
  <c r="AT98" i="5"/>
  <c r="AS98" i="5"/>
  <c r="AR98" i="5"/>
  <c r="AT97" i="5"/>
  <c r="AS97" i="5"/>
  <c r="AR97" i="5"/>
  <c r="AT94" i="5"/>
  <c r="AS94" i="5"/>
  <c r="AR94" i="5"/>
  <c r="AT93" i="5"/>
  <c r="AS93" i="5"/>
  <c r="AR93" i="5"/>
  <c r="AT92" i="5"/>
  <c r="AS92" i="5"/>
  <c r="AR92" i="5"/>
  <c r="AT89" i="5"/>
  <c r="AS89" i="5"/>
  <c r="AR89" i="5"/>
  <c r="AV78" i="5"/>
  <c r="AV77" i="5"/>
  <c r="AV76" i="5"/>
  <c r="AV75" i="5"/>
  <c r="AV70" i="5"/>
  <c r="AV68" i="5"/>
  <c r="AV67" i="5"/>
  <c r="AV65" i="5"/>
  <c r="AV63" i="5"/>
  <c r="AV62" i="5"/>
  <c r="AV61" i="5"/>
  <c r="AV59" i="5"/>
  <c r="AV58" i="5"/>
  <c r="AV55" i="5"/>
  <c r="AV54" i="5"/>
  <c r="AV53" i="5"/>
  <c r="AV52" i="5"/>
  <c r="AV51" i="5"/>
  <c r="AV50" i="5"/>
  <c r="AV49" i="5"/>
  <c r="AV47" i="5"/>
  <c r="AV44" i="5"/>
  <c r="AV43" i="5"/>
  <c r="AV42" i="5"/>
  <c r="AV41" i="5"/>
  <c r="AV40" i="5"/>
  <c r="AV38" i="5"/>
  <c r="AV34" i="5"/>
  <c r="AV32" i="5"/>
  <c r="AV30" i="5"/>
  <c r="AV29" i="5"/>
  <c r="AV28" i="5"/>
  <c r="AV27" i="5"/>
  <c r="AV24" i="5"/>
  <c r="AV23" i="5"/>
  <c r="AV22" i="5"/>
  <c r="AV21" i="5"/>
  <c r="AV20" i="5"/>
  <c r="AV19" i="5"/>
  <c r="AV18" i="5"/>
  <c r="AV17" i="5"/>
  <c r="AV16" i="5"/>
  <c r="AV15" i="5"/>
  <c r="AV14" i="5"/>
  <c r="AV13" i="5"/>
  <c r="AV11" i="5"/>
  <c r="AT78" i="5"/>
  <c r="AS78" i="5"/>
  <c r="AR78" i="5"/>
  <c r="AT77" i="5"/>
  <c r="AS77" i="5"/>
  <c r="AR77" i="5"/>
  <c r="AT76" i="5"/>
  <c r="AS76" i="5"/>
  <c r="AR76" i="5"/>
  <c r="AT75" i="5"/>
  <c r="AS75" i="5"/>
  <c r="AR75" i="5"/>
  <c r="AT70" i="5"/>
  <c r="AS70" i="5"/>
  <c r="AR70" i="5"/>
  <c r="AT68" i="5"/>
  <c r="AS68" i="5"/>
  <c r="AR68" i="5"/>
  <c r="AT67" i="5"/>
  <c r="AS67" i="5"/>
  <c r="AR67" i="5"/>
  <c r="AT65" i="5"/>
  <c r="AS65" i="5"/>
  <c r="AR65" i="5"/>
  <c r="AT63" i="5"/>
  <c r="AS63" i="5"/>
  <c r="AR63" i="5"/>
  <c r="AT62" i="5"/>
  <c r="AS62" i="5"/>
  <c r="AR62" i="5"/>
  <c r="AT61" i="5"/>
  <c r="AS61" i="5"/>
  <c r="AR61" i="5"/>
  <c r="AT59" i="5"/>
  <c r="AS59" i="5"/>
  <c r="AR59" i="5"/>
  <c r="AT58" i="5"/>
  <c r="AS58" i="5"/>
  <c r="AR58" i="5"/>
  <c r="AT55" i="5"/>
  <c r="AS55" i="5"/>
  <c r="AR55" i="5"/>
  <c r="AT53" i="5"/>
  <c r="AS53" i="5"/>
  <c r="AR53" i="5"/>
  <c r="AT52" i="5"/>
  <c r="AS52" i="5"/>
  <c r="AR52" i="5"/>
  <c r="AT51" i="5"/>
  <c r="AS51" i="5"/>
  <c r="AR51" i="5"/>
  <c r="AT50" i="5"/>
  <c r="AS50" i="5"/>
  <c r="AR50" i="5"/>
  <c r="AT47" i="5"/>
  <c r="AS47" i="5"/>
  <c r="AR47" i="5"/>
  <c r="AT44" i="5"/>
  <c r="AS44" i="5"/>
  <c r="AR44" i="5"/>
  <c r="AT43" i="5"/>
  <c r="AS43" i="5"/>
  <c r="AR43" i="5"/>
  <c r="AT42" i="5"/>
  <c r="AS42" i="5"/>
  <c r="AR42" i="5"/>
  <c r="AT41" i="5"/>
  <c r="AS41" i="5"/>
  <c r="AR41" i="5"/>
  <c r="AT40" i="5"/>
  <c r="AS40" i="5"/>
  <c r="AR40" i="5"/>
  <c r="AT38" i="5"/>
  <c r="AS38" i="5"/>
  <c r="AR38" i="5"/>
  <c r="AT34" i="5"/>
  <c r="AS34" i="5"/>
  <c r="AR34" i="5"/>
  <c r="AT32" i="5"/>
  <c r="AS32" i="5"/>
  <c r="AR32" i="5"/>
  <c r="AT30" i="5"/>
  <c r="AS30" i="5"/>
  <c r="AR30" i="5"/>
  <c r="AT28" i="5"/>
  <c r="AS28" i="5"/>
  <c r="AR28" i="5"/>
  <c r="AT27" i="5"/>
  <c r="AS27" i="5"/>
  <c r="AR27" i="5"/>
  <c r="AT24" i="5"/>
  <c r="AS24" i="5"/>
  <c r="AR24" i="5"/>
  <c r="AT23" i="5"/>
  <c r="AS23" i="5"/>
  <c r="AR23" i="5"/>
  <c r="AT22" i="5"/>
  <c r="AS22" i="5"/>
  <c r="AR22" i="5"/>
  <c r="AT18" i="5"/>
  <c r="AS18" i="5"/>
  <c r="AR18" i="5"/>
  <c r="AT16" i="5"/>
  <c r="AS16" i="5"/>
  <c r="AR16" i="5"/>
  <c r="AT15" i="5"/>
  <c r="AS15" i="5"/>
  <c r="AR15" i="5"/>
  <c r="AT13" i="5"/>
  <c r="AS13" i="5"/>
  <c r="AR13" i="5"/>
  <c r="AT11" i="5"/>
  <c r="AS11" i="5"/>
  <c r="AR11" i="5"/>
  <c r="AT8" i="5"/>
  <c r="AS8" i="5"/>
  <c r="AR8" i="5"/>
  <c r="AQ11" i="5"/>
  <c r="AV152" i="5"/>
  <c r="AV151" i="5"/>
  <c r="AV149" i="5"/>
  <c r="AV148" i="5"/>
  <c r="AV147" i="5"/>
  <c r="AV146" i="5"/>
  <c r="AV143" i="5"/>
  <c r="AV142" i="5"/>
  <c r="AV141" i="5"/>
  <c r="AV139" i="5"/>
  <c r="AV138" i="5"/>
  <c r="AV137" i="5"/>
  <c r="AT152" i="5"/>
  <c r="AT151" i="5"/>
  <c r="AT149" i="5"/>
  <c r="AT148" i="5"/>
  <c r="AT147" i="5"/>
  <c r="AT146" i="5"/>
  <c r="AT142" i="5"/>
  <c r="AT143" i="5" s="1"/>
  <c r="AT141" i="5"/>
  <c r="Q98" i="5"/>
  <c r="Q104" i="5" s="1"/>
  <c r="Q97" i="5"/>
  <c r="Q76" i="5"/>
  <c r="Q75" i="5"/>
  <c r="T57" i="5"/>
  <c r="T56" i="5"/>
  <c r="Q23" i="5"/>
  <c r="Q92" i="5"/>
  <c r="Q94" i="5" s="1"/>
  <c r="Q267" i="5"/>
  <c r="Q271" i="5" s="1"/>
  <c r="AA56" i="6"/>
  <c r="AA39" i="6"/>
  <c r="Q260" i="5"/>
  <c r="Q257" i="5"/>
  <c r="Q255" i="5"/>
  <c r="Q250" i="5"/>
  <c r="Q230" i="5"/>
  <c r="Q231" i="5" s="1"/>
  <c r="Q225" i="5"/>
  <c r="Q201" i="5"/>
  <c r="Q173" i="5"/>
  <c r="Q111" i="5"/>
  <c r="Q77" i="5"/>
  <c r="Q236" i="5" s="1"/>
  <c r="Q68" i="5"/>
  <c r="Q59" i="5"/>
  <c r="Q138" i="5" s="1"/>
  <c r="Q42" i="5"/>
  <c r="Q30" i="5"/>
  <c r="Q34" i="5" s="1"/>
  <c r="Q24" i="5"/>
  <c r="P267" i="5"/>
  <c r="P271" i="5" s="1"/>
  <c r="O267" i="5"/>
  <c r="O271" i="5" s="1"/>
  <c r="P260" i="5"/>
  <c r="O260" i="5"/>
  <c r="P257" i="5"/>
  <c r="O257" i="5"/>
  <c r="P255" i="5"/>
  <c r="O255" i="5"/>
  <c r="P250" i="5"/>
  <c r="O250" i="5"/>
  <c r="P230" i="5"/>
  <c r="P231" i="5" s="1"/>
  <c r="O230" i="5"/>
  <c r="O231" i="5" s="1"/>
  <c r="P173" i="5"/>
  <c r="O173" i="5"/>
  <c r="P27" i="5"/>
  <c r="P30" i="5" s="1"/>
  <c r="P34" i="5" s="1"/>
  <c r="O27" i="5"/>
  <c r="O30" i="5" s="1"/>
  <c r="O34" i="5" s="1"/>
  <c r="AS141" i="5"/>
  <c r="AS142" i="5" s="1"/>
  <c r="AR141" i="5"/>
  <c r="AR142" i="5" s="1"/>
  <c r="P98" i="5"/>
  <c r="O98" i="5"/>
  <c r="P97" i="5"/>
  <c r="P225" i="5" s="1"/>
  <c r="O97" i="5"/>
  <c r="P92" i="5"/>
  <c r="P94" i="5" s="1"/>
  <c r="P158" i="5" s="1"/>
  <c r="O92" i="5"/>
  <c r="O94" i="5" s="1"/>
  <c r="Z56" i="6"/>
  <c r="Y56" i="6"/>
  <c r="Z39" i="6"/>
  <c r="Y39" i="6"/>
  <c r="P75" i="5"/>
  <c r="P77" i="5" s="1"/>
  <c r="P177" i="5" s="1"/>
  <c r="O75" i="5"/>
  <c r="O77" i="5" s="1"/>
  <c r="O181" i="5" s="1"/>
  <c r="P59" i="5"/>
  <c r="P138" i="5" s="1"/>
  <c r="O59" i="5"/>
  <c r="O23" i="5"/>
  <c r="T19" i="5"/>
  <c r="O13" i="5"/>
  <c r="P201" i="5"/>
  <c r="O201" i="5"/>
  <c r="P111" i="5"/>
  <c r="O111" i="5"/>
  <c r="P68" i="5"/>
  <c r="O68" i="5"/>
  <c r="P42" i="5"/>
  <c r="O42" i="5"/>
  <c r="AN136" i="5"/>
  <c r="AO136" i="5"/>
  <c r="AM142" i="5"/>
  <c r="AM147" i="5" s="1"/>
  <c r="AL142" i="5"/>
  <c r="AL147" i="5" s="1"/>
  <c r="AP136" i="5"/>
  <c r="AQ136" i="5"/>
  <c r="N267" i="5"/>
  <c r="N271" i="5" s="1"/>
  <c r="N260" i="5"/>
  <c r="N257" i="5"/>
  <c r="N255" i="5"/>
  <c r="N250" i="5"/>
  <c r="N230" i="5"/>
  <c r="N231" i="5" s="1"/>
  <c r="M206" i="5"/>
  <c r="L206" i="5"/>
  <c r="K206" i="5"/>
  <c r="J206" i="5"/>
  <c r="I206" i="5"/>
  <c r="N206" i="5"/>
  <c r="N203" i="5"/>
  <c r="I203" i="5"/>
  <c r="S21" i="5"/>
  <c r="S20" i="5"/>
  <c r="AQ141" i="5"/>
  <c r="AQ142" i="5" s="1"/>
  <c r="N27" i="5"/>
  <c r="N30" i="5" s="1"/>
  <c r="N34" i="5" s="1"/>
  <c r="N75" i="5"/>
  <c r="N77" i="5" s="1"/>
  <c r="N58" i="5"/>
  <c r="N23" i="5"/>
  <c r="N13" i="5"/>
  <c r="N98" i="5"/>
  <c r="N97" i="5"/>
  <c r="N92" i="5"/>
  <c r="N94" i="5" s="1"/>
  <c r="AQ100" i="5" s="1"/>
  <c r="X56" i="6"/>
  <c r="X39" i="6"/>
  <c r="N201" i="5"/>
  <c r="N173" i="5"/>
  <c r="N111" i="5"/>
  <c r="N68" i="5"/>
  <c r="N42" i="5"/>
  <c r="Q226" i="5" l="1"/>
  <c r="Q243" i="5" s="1"/>
  <c r="Q180" i="5"/>
  <c r="O225" i="5"/>
  <c r="P226" i="5"/>
  <c r="P243" i="5" s="1"/>
  <c r="P180" i="5"/>
  <c r="P143" i="5"/>
  <c r="Q224" i="5"/>
  <c r="Q144" i="5"/>
  <c r="Q177" i="5"/>
  <c r="Q249" i="5"/>
  <c r="Q160" i="5"/>
  <c r="O139" i="5"/>
  <c r="P169" i="5"/>
  <c r="Q148" i="5"/>
  <c r="Q227" i="5" s="1"/>
  <c r="Q181" i="5"/>
  <c r="Q137" i="5"/>
  <c r="Q169" i="5"/>
  <c r="Q182" i="5"/>
  <c r="P176" i="5"/>
  <c r="P236" i="5"/>
  <c r="Q139" i="5"/>
  <c r="Q157" i="5"/>
  <c r="P24" i="5"/>
  <c r="P181" i="5"/>
  <c r="Q143" i="5"/>
  <c r="Q158" i="5"/>
  <c r="Q176" i="5"/>
  <c r="P139" i="5"/>
  <c r="O226" i="5"/>
  <c r="O243" i="5" s="1"/>
  <c r="P182" i="5"/>
  <c r="P148" i="5"/>
  <c r="P227" i="5" s="1"/>
  <c r="Q105" i="5"/>
  <c r="Q70" i="5"/>
  <c r="Q142" i="5" s="1"/>
  <c r="Q43" i="5"/>
  <c r="Q44" i="5"/>
  <c r="O224" i="5"/>
  <c r="O157" i="5"/>
  <c r="O148" i="5"/>
  <c r="O227" i="5" s="1"/>
  <c r="O158" i="5"/>
  <c r="P224" i="5"/>
  <c r="O160" i="5"/>
  <c r="P160" i="5"/>
  <c r="P144" i="5"/>
  <c r="O138" i="5"/>
  <c r="O144" i="5"/>
  <c r="O176" i="5"/>
  <c r="O182" i="5"/>
  <c r="O177" i="5"/>
  <c r="O180" i="5"/>
  <c r="O236" i="5"/>
  <c r="P157" i="5"/>
  <c r="P104" i="5"/>
  <c r="P105" i="5" s="1"/>
  <c r="O143" i="5"/>
  <c r="O169" i="5"/>
  <c r="AR146" i="5"/>
  <c r="AS146" i="5"/>
  <c r="AR152" i="5"/>
  <c r="AR148" i="5"/>
  <c r="AR147" i="5"/>
  <c r="AR149" i="5"/>
  <c r="AR143" i="5"/>
  <c r="AS152" i="5"/>
  <c r="AS148" i="5"/>
  <c r="AS147" i="5"/>
  <c r="AS149" i="5"/>
  <c r="AS143" i="5"/>
  <c r="AR151" i="5"/>
  <c r="AS151" i="5"/>
  <c r="O104" i="5"/>
  <c r="O105" i="5" s="1"/>
  <c r="N24" i="5"/>
  <c r="N104" i="5"/>
  <c r="AQ104" i="5" s="1"/>
  <c r="P70" i="5"/>
  <c r="P142" i="5" s="1"/>
  <c r="O24" i="5"/>
  <c r="N59" i="5"/>
  <c r="N138" i="5" s="1"/>
  <c r="N226" i="5"/>
  <c r="N243" i="5" s="1"/>
  <c r="N205" i="5"/>
  <c r="N209" i="5" s="1"/>
  <c r="O70" i="5"/>
  <c r="O142" i="5" s="1"/>
  <c r="P43" i="5"/>
  <c r="O43" i="5"/>
  <c r="AQ147" i="5"/>
  <c r="AQ146" i="5"/>
  <c r="AQ152" i="5"/>
  <c r="N180" i="5"/>
  <c r="N236" i="5"/>
  <c r="N225" i="5"/>
  <c r="N144" i="5"/>
  <c r="N181" i="5"/>
  <c r="N143" i="5"/>
  <c r="N176" i="5"/>
  <c r="N182" i="5"/>
  <c r="N177" i="5"/>
  <c r="N169" i="5"/>
  <c r="AQ97" i="5"/>
  <c r="AQ101" i="5"/>
  <c r="AQ107" i="5"/>
  <c r="AQ115" i="5"/>
  <c r="N157" i="5"/>
  <c r="AQ92" i="5"/>
  <c r="AQ98" i="5"/>
  <c r="AQ103" i="5"/>
  <c r="AQ108" i="5"/>
  <c r="AQ93" i="5"/>
  <c r="AQ99" i="5"/>
  <c r="AQ111" i="5"/>
  <c r="N148" i="5"/>
  <c r="N227" i="5" s="1"/>
  <c r="AQ94" i="5"/>
  <c r="AQ151" i="5"/>
  <c r="AQ149" i="5"/>
  <c r="AQ148" i="5"/>
  <c r="N43" i="5"/>
  <c r="T39" i="5"/>
  <c r="O159" i="5" l="1"/>
  <c r="Q78" i="5"/>
  <c r="Q79" i="5" s="1"/>
  <c r="Q235" i="5"/>
  <c r="P249" i="5"/>
  <c r="Q159" i="5"/>
  <c r="P137" i="5"/>
  <c r="N44" i="5"/>
  <c r="AQ58" i="5" s="1"/>
  <c r="P44" i="5"/>
  <c r="Q161" i="5" s="1"/>
  <c r="Q113" i="5"/>
  <c r="Q238" i="5"/>
  <c r="S238" i="5" s="1"/>
  <c r="Q237" i="5"/>
  <c r="P238" i="5"/>
  <c r="P237" i="5"/>
  <c r="O237" i="5"/>
  <c r="P235" i="5"/>
  <c r="O238" i="5"/>
  <c r="O137" i="5"/>
  <c r="O249" i="5"/>
  <c r="P159" i="5"/>
  <c r="N105" i="5"/>
  <c r="O235" i="5" s="1"/>
  <c r="P78" i="5"/>
  <c r="O44" i="5"/>
  <c r="N137" i="5"/>
  <c r="N70" i="5"/>
  <c r="N142" i="5" s="1"/>
  <c r="O78" i="5"/>
  <c r="N249" i="5"/>
  <c r="O113" i="5"/>
  <c r="P113" i="5"/>
  <c r="N238" i="5"/>
  <c r="N237" i="5"/>
  <c r="AQ63" i="5"/>
  <c r="N78" i="5"/>
  <c r="N79" i="5" s="1"/>
  <c r="AQ77" i="5"/>
  <c r="AQ62" i="5"/>
  <c r="AQ67" i="5"/>
  <c r="AQ53" i="5"/>
  <c r="AQ52" i="5"/>
  <c r="AQ44" i="5"/>
  <c r="AQ105" i="5"/>
  <c r="M267" i="5"/>
  <c r="M271" i="5" s="1"/>
  <c r="M260" i="5"/>
  <c r="M257" i="5"/>
  <c r="M255" i="5"/>
  <c r="M250" i="5"/>
  <c r="M230" i="5"/>
  <c r="M231" i="5" s="1"/>
  <c r="M222" i="5"/>
  <c r="M221" i="5"/>
  <c r="M203" i="5"/>
  <c r="M201" i="5"/>
  <c r="S201" i="5" s="1"/>
  <c r="AP141" i="5"/>
  <c r="AP142" i="5" s="1"/>
  <c r="AQ143" i="5" s="1"/>
  <c r="M27" i="5"/>
  <c r="M30" i="5" s="1"/>
  <c r="M34" i="5" s="1"/>
  <c r="N160" i="5" s="1"/>
  <c r="K98" i="5"/>
  <c r="K97" i="5"/>
  <c r="L98" i="5"/>
  <c r="L97" i="5"/>
  <c r="M98" i="5"/>
  <c r="M97" i="5"/>
  <c r="W56" i="6"/>
  <c r="W39" i="6"/>
  <c r="M75" i="5"/>
  <c r="M77" i="5" s="1"/>
  <c r="M236" i="5" s="1"/>
  <c r="M68" i="5"/>
  <c r="M59" i="5"/>
  <c r="M42" i="5"/>
  <c r="M23" i="5"/>
  <c r="M13" i="5"/>
  <c r="M173" i="5"/>
  <c r="M111" i="5"/>
  <c r="M92" i="5"/>
  <c r="M94" i="5" s="1"/>
  <c r="N224" i="5" s="1"/>
  <c r="AQ13" i="5" l="1"/>
  <c r="AQ22" i="5"/>
  <c r="AQ27" i="5"/>
  <c r="AQ28" i="5"/>
  <c r="AQ24" i="5"/>
  <c r="AQ18" i="5"/>
  <c r="AQ16" i="5"/>
  <c r="AQ23" i="5"/>
  <c r="AQ32" i="5"/>
  <c r="AQ34" i="5"/>
  <c r="AQ38" i="5"/>
  <c r="AQ65" i="5"/>
  <c r="AQ76" i="5"/>
  <c r="AQ75" i="5"/>
  <c r="AQ15" i="5"/>
  <c r="AQ30" i="5"/>
  <c r="AQ41" i="5"/>
  <c r="AQ42" i="5"/>
  <c r="AQ43" i="5"/>
  <c r="AQ40" i="5"/>
  <c r="AQ47" i="5"/>
  <c r="AQ50" i="5"/>
  <c r="AQ70" i="5"/>
  <c r="N113" i="5"/>
  <c r="AQ113" i="5" s="1"/>
  <c r="AQ59" i="5"/>
  <c r="AQ61" i="5"/>
  <c r="AQ55" i="5"/>
  <c r="AQ51" i="5"/>
  <c r="P161" i="5"/>
  <c r="Q116" i="5"/>
  <c r="Q168" i="5"/>
  <c r="Q145" i="5"/>
  <c r="P79" i="5"/>
  <c r="AQ68" i="5"/>
  <c r="P145" i="5"/>
  <c r="P168" i="5"/>
  <c r="O168" i="5"/>
  <c r="O145" i="5"/>
  <c r="O161" i="5"/>
  <c r="O79" i="5"/>
  <c r="M226" i="5"/>
  <c r="M243" i="5" s="1"/>
  <c r="P116" i="5"/>
  <c r="M205" i="5"/>
  <c r="M209" i="5" s="1"/>
  <c r="AQ78" i="5"/>
  <c r="O116" i="5"/>
  <c r="N139" i="5"/>
  <c r="N158" i="5"/>
  <c r="AP152" i="5"/>
  <c r="AP147" i="5"/>
  <c r="M104" i="5"/>
  <c r="M105" i="5" s="1"/>
  <c r="N235" i="5" s="1"/>
  <c r="M138" i="5"/>
  <c r="M225" i="5"/>
  <c r="AP111" i="5"/>
  <c r="M24" i="5"/>
  <c r="M44" i="5" s="1"/>
  <c r="N161" i="5" s="1"/>
  <c r="AP148" i="5"/>
  <c r="AP149" i="5"/>
  <c r="AP151" i="5"/>
  <c r="AP146" i="5"/>
  <c r="AP94" i="5"/>
  <c r="AP100" i="5"/>
  <c r="AP97" i="5"/>
  <c r="AP92" i="5"/>
  <c r="AP98" i="5"/>
  <c r="AP103" i="5"/>
  <c r="AP108" i="5"/>
  <c r="AP101" i="5"/>
  <c r="AP107" i="5"/>
  <c r="AP115" i="5"/>
  <c r="M157" i="5"/>
  <c r="AP93" i="5"/>
  <c r="AP99" i="5"/>
  <c r="M148" i="5"/>
  <c r="M227" i="5" s="1"/>
  <c r="M70" i="5"/>
  <c r="M142" i="5" s="1"/>
  <c r="M43" i="5"/>
  <c r="M181" i="5"/>
  <c r="M169" i="5"/>
  <c r="M180" i="5"/>
  <c r="M182" i="5"/>
  <c r="M143" i="5"/>
  <c r="M177" i="5"/>
  <c r="M176" i="5"/>
  <c r="M144" i="5"/>
  <c r="N145" i="5" l="1"/>
  <c r="N168" i="5"/>
  <c r="N116" i="5"/>
  <c r="O228" i="5" s="1"/>
  <c r="Q119" i="5"/>
  <c r="Q254" i="5"/>
  <c r="Q256" i="5" s="1"/>
  <c r="Q259" i="5" s="1"/>
  <c r="Q261" i="5" s="1"/>
  <c r="Q232" i="5"/>
  <c r="Q172" i="5"/>
  <c r="Q151" i="5"/>
  <c r="Q184" i="5"/>
  <c r="Q171" i="5"/>
  <c r="Q150" i="5"/>
  <c r="Q228" i="5"/>
  <c r="Q149" i="5"/>
  <c r="AA12" i="6"/>
  <c r="AA30" i="6" s="1"/>
  <c r="AA58" i="6" s="1"/>
  <c r="Q124" i="5"/>
  <c r="O149" i="5"/>
  <c r="O172" i="5"/>
  <c r="O184" i="5"/>
  <c r="O171" i="5"/>
  <c r="O151" i="5"/>
  <c r="O254" i="5"/>
  <c r="O256" i="5" s="1"/>
  <c r="O259" i="5" s="1"/>
  <c r="O261" i="5" s="1"/>
  <c r="O232" i="5"/>
  <c r="O150" i="5"/>
  <c r="P172" i="5"/>
  <c r="P228" i="5"/>
  <c r="P184" i="5"/>
  <c r="P171" i="5"/>
  <c r="P151" i="5"/>
  <c r="P254" i="5"/>
  <c r="P256" i="5" s="1"/>
  <c r="P259" i="5" s="1"/>
  <c r="P261" i="5" s="1"/>
  <c r="P232" i="5"/>
  <c r="P150" i="5"/>
  <c r="P149" i="5"/>
  <c r="M137" i="5"/>
  <c r="Y12" i="6"/>
  <c r="Y30" i="6" s="1"/>
  <c r="O119" i="5"/>
  <c r="O124" i="5"/>
  <c r="Z12" i="6"/>
  <c r="Z30" i="6" s="1"/>
  <c r="P119" i="5"/>
  <c r="P124" i="5"/>
  <c r="AP104" i="5"/>
  <c r="M249" i="5"/>
  <c r="N159" i="5"/>
  <c r="N254" i="5"/>
  <c r="N256" i="5" s="1"/>
  <c r="N259" i="5" s="1"/>
  <c r="N261" i="5" s="1"/>
  <c r="N232" i="5"/>
  <c r="N124" i="5"/>
  <c r="N172" i="5"/>
  <c r="N151" i="5"/>
  <c r="AQ116" i="5"/>
  <c r="N150" i="5"/>
  <c r="N149" i="5"/>
  <c r="N119" i="5"/>
  <c r="M78" i="5"/>
  <c r="AP78" i="5" s="1"/>
  <c r="M238" i="5"/>
  <c r="M237" i="5"/>
  <c r="AP105" i="5"/>
  <c r="M113" i="5"/>
  <c r="AP113" i="5" s="1"/>
  <c r="AP76" i="5"/>
  <c r="AP67" i="5"/>
  <c r="AP61" i="5"/>
  <c r="AP53" i="5"/>
  <c r="AP47" i="5"/>
  <c r="AP41" i="5"/>
  <c r="AP32" i="5"/>
  <c r="AP16" i="5"/>
  <c r="AP75" i="5"/>
  <c r="AP65" i="5"/>
  <c r="AP59" i="5"/>
  <c r="AP52" i="5"/>
  <c r="AP44" i="5"/>
  <c r="AP40" i="5"/>
  <c r="AP30" i="5"/>
  <c r="AP23" i="5"/>
  <c r="AP15" i="5"/>
  <c r="AP70" i="5"/>
  <c r="AP63" i="5"/>
  <c r="AP58" i="5"/>
  <c r="AP51" i="5"/>
  <c r="AP43" i="5"/>
  <c r="AP38" i="5"/>
  <c r="AP28" i="5"/>
  <c r="AP22" i="5"/>
  <c r="AP13" i="5"/>
  <c r="AP77" i="5"/>
  <c r="AP68" i="5"/>
  <c r="AP62" i="5"/>
  <c r="AP55" i="5"/>
  <c r="AP50" i="5"/>
  <c r="AP42" i="5"/>
  <c r="AP34" i="5"/>
  <c r="AP27" i="5"/>
  <c r="AP18" i="5"/>
  <c r="AP11" i="5"/>
  <c r="AP24" i="5"/>
  <c r="N171" i="5" l="1"/>
  <c r="N184" i="5"/>
  <c r="AQ123" i="5"/>
  <c r="X12" i="6"/>
  <c r="X30" i="6" s="1"/>
  <c r="N248" i="5" s="1"/>
  <c r="N251" i="5" s="1"/>
  <c r="Z58" i="6"/>
  <c r="P248" i="5"/>
  <c r="P251" i="5" s="1"/>
  <c r="P170" i="5"/>
  <c r="Y58" i="6"/>
  <c r="O248" i="5"/>
  <c r="O251" i="5" s="1"/>
  <c r="O170" i="5"/>
  <c r="M116" i="5"/>
  <c r="AP123" i="5" s="1"/>
  <c r="M79" i="5"/>
  <c r="M145" i="5"/>
  <c r="M168" i="5"/>
  <c r="X58" i="6" l="1"/>
  <c r="N170" i="5"/>
  <c r="M149" i="5"/>
  <c r="M119" i="5"/>
  <c r="M232" i="5"/>
  <c r="W12" i="6"/>
  <c r="W30" i="6" s="1"/>
  <c r="M248" i="5" s="1"/>
  <c r="M251" i="5" s="1"/>
  <c r="M172" i="5"/>
  <c r="M254" i="5"/>
  <c r="M256" i="5" s="1"/>
  <c r="M259" i="5" s="1"/>
  <c r="M261" i="5" s="1"/>
  <c r="N228" i="5"/>
  <c r="AP116" i="5"/>
  <c r="M184" i="5"/>
  <c r="M124" i="5"/>
  <c r="M171" i="5"/>
  <c r="W58" i="6" l="1"/>
  <c r="M170" i="5"/>
  <c r="V56" i="6"/>
  <c r="V39" i="6"/>
  <c r="L27" i="5"/>
  <c r="AO141" i="5"/>
  <c r="AO142" i="5" s="1"/>
  <c r="AO147" i="5" s="1"/>
  <c r="L111" i="5"/>
  <c r="L104" i="5"/>
  <c r="L92" i="5"/>
  <c r="L94" i="5" l="1"/>
  <c r="M224" i="5" l="1"/>
  <c r="L105" i="5"/>
  <c r="M235" i="5" l="1"/>
  <c r="L113" i="5"/>
  <c r="L116" i="5" s="1"/>
  <c r="L267" i="5"/>
  <c r="L271" i="5" s="1"/>
  <c r="L260" i="5"/>
  <c r="L257" i="5"/>
  <c r="L255" i="5"/>
  <c r="L250" i="5"/>
  <c r="L238" i="5"/>
  <c r="L237" i="5"/>
  <c r="L230" i="5"/>
  <c r="L231" i="5" s="1"/>
  <c r="L226" i="5"/>
  <c r="L225" i="5"/>
  <c r="L222" i="5"/>
  <c r="L221" i="5"/>
  <c r="L75" i="5"/>
  <c r="L58" i="5"/>
  <c r="L68" i="5"/>
  <c r="L41" i="5"/>
  <c r="L30" i="5"/>
  <c r="L13" i="5"/>
  <c r="L203" i="5"/>
  <c r="L201" i="5"/>
  <c r="L173" i="5"/>
  <c r="L168" i="5"/>
  <c r="L157" i="5"/>
  <c r="L148" i="5"/>
  <c r="L145" i="5"/>
  <c r="AO115" i="5"/>
  <c r="AO113" i="5"/>
  <c r="AO111" i="5"/>
  <c r="AO108" i="5"/>
  <c r="AO107" i="5"/>
  <c r="AO105" i="5"/>
  <c r="AO104" i="5"/>
  <c r="AO103" i="5"/>
  <c r="AO101" i="5"/>
  <c r="AO100" i="5"/>
  <c r="AO99" i="5"/>
  <c r="AO98" i="5"/>
  <c r="AO97" i="5"/>
  <c r="AO94" i="5"/>
  <c r="AO93" i="5"/>
  <c r="AO92" i="5"/>
  <c r="M228" i="5" l="1"/>
  <c r="L232" i="5"/>
  <c r="L124" i="5"/>
  <c r="L149" i="5"/>
  <c r="AO116" i="5"/>
  <c r="L119" i="5"/>
  <c r="L184" i="5"/>
  <c r="L171" i="5"/>
  <c r="L254" i="5"/>
  <c r="V12" i="6"/>
  <c r="V30" i="6" s="1"/>
  <c r="V58" i="6" s="1"/>
  <c r="L77" i="5"/>
  <c r="L59" i="5"/>
  <c r="L227" i="5"/>
  <c r="M158" i="5"/>
  <c r="L34" i="5"/>
  <c r="L43" i="5" s="1"/>
  <c r="L42" i="5"/>
  <c r="L243" i="5"/>
  <c r="AO123" i="5"/>
  <c r="M151" i="5"/>
  <c r="M139" i="5"/>
  <c r="L248" i="5"/>
  <c r="AO152" i="5"/>
  <c r="AP143" i="5"/>
  <c r="L24" i="5"/>
  <c r="L176" i="5"/>
  <c r="L205" i="5"/>
  <c r="L209" i="5" s="1"/>
  <c r="L256" i="5"/>
  <c r="L259" i="5" s="1"/>
  <c r="L261" i="5" s="1"/>
  <c r="L177" i="5"/>
  <c r="L70" i="5"/>
  <c r="L138" i="5"/>
  <c r="AO146" i="5"/>
  <c r="AO149" i="5"/>
  <c r="AO151" i="5"/>
  <c r="AO148" i="5"/>
  <c r="L170" i="5" l="1"/>
  <c r="L236" i="5"/>
  <c r="L169" i="5"/>
  <c r="L143" i="5"/>
  <c r="L172" i="5"/>
  <c r="L181" i="5"/>
  <c r="L180" i="5"/>
  <c r="M154" i="5"/>
  <c r="L182" i="5"/>
  <c r="M152" i="5"/>
  <c r="L144" i="5"/>
  <c r="L142" i="5"/>
  <c r="M160" i="5"/>
  <c r="M159" i="5"/>
  <c r="L44" i="5"/>
  <c r="AO67" i="5" s="1"/>
  <c r="L249" i="5"/>
  <c r="L251" i="5" s="1"/>
  <c r="L137" i="5"/>
  <c r="L78" i="5"/>
  <c r="K267" i="5"/>
  <c r="K271" i="5" s="1"/>
  <c r="K260" i="5"/>
  <c r="K257" i="5"/>
  <c r="K255" i="5"/>
  <c r="K250" i="5"/>
  <c r="K230" i="5"/>
  <c r="K231" i="5" s="1"/>
  <c r="K27" i="5"/>
  <c r="AN141" i="5"/>
  <c r="K214" i="5"/>
  <c r="K203" i="5"/>
  <c r="K201" i="5"/>
  <c r="U56" i="6"/>
  <c r="U39" i="6"/>
  <c r="K75" i="5"/>
  <c r="K67" i="5"/>
  <c r="K23" i="5"/>
  <c r="K13" i="5"/>
  <c r="L158" i="5" s="1"/>
  <c r="K226" i="5"/>
  <c r="K243" i="5" s="1"/>
  <c r="K92" i="5"/>
  <c r="AO53" i="5" l="1"/>
  <c r="AO63" i="5"/>
  <c r="AO40" i="5"/>
  <c r="AO27" i="5"/>
  <c r="AO58" i="5"/>
  <c r="AO34" i="5"/>
  <c r="AO76" i="5"/>
  <c r="AO62" i="5"/>
  <c r="AO18" i="5"/>
  <c r="AO42" i="5"/>
  <c r="AO43" i="5"/>
  <c r="AO47" i="5"/>
  <c r="AO78" i="5"/>
  <c r="AO11" i="5"/>
  <c r="AO59" i="5"/>
  <c r="AO24" i="5"/>
  <c r="AO13" i="5"/>
  <c r="AO22" i="5"/>
  <c r="AO65" i="5"/>
  <c r="AO70" i="5"/>
  <c r="M161" i="5"/>
  <c r="AO75" i="5"/>
  <c r="AO52" i="5"/>
  <c r="AO30" i="5"/>
  <c r="AO61" i="5"/>
  <c r="AO44" i="5"/>
  <c r="AO28" i="5"/>
  <c r="AO50" i="5"/>
  <c r="M150" i="5"/>
  <c r="AO16" i="5"/>
  <c r="AO68" i="5"/>
  <c r="AO55" i="5"/>
  <c r="AO32" i="5"/>
  <c r="AO51" i="5"/>
  <c r="AO77" i="5"/>
  <c r="AO38" i="5"/>
  <c r="AO41" i="5"/>
  <c r="AO15" i="5"/>
  <c r="AO23" i="5"/>
  <c r="L79" i="5"/>
  <c r="AN142" i="5"/>
  <c r="AN149" i="5" s="1"/>
  <c r="K221" i="5"/>
  <c r="K222" i="5"/>
  <c r="K205" i="5"/>
  <c r="K209" i="5" s="1"/>
  <c r="K225" i="5"/>
  <c r="AO143" i="5" l="1"/>
  <c r="AN148" i="5"/>
  <c r="AN151" i="5"/>
  <c r="AN152" i="5"/>
  <c r="AN146" i="5"/>
  <c r="AN147" i="5"/>
  <c r="H60" i="6"/>
  <c r="G60" i="6"/>
  <c r="F60" i="6"/>
  <c r="E60" i="6"/>
  <c r="D60" i="6"/>
  <c r="AB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C54" i="6"/>
  <c r="AC52" i="6"/>
  <c r="AC50" i="6"/>
  <c r="AC47" i="6"/>
  <c r="AC46" i="6"/>
  <c r="AC42" i="6"/>
  <c r="AB39" i="6"/>
  <c r="T39" i="6"/>
  <c r="S39" i="6"/>
  <c r="R39" i="6"/>
  <c r="Q39" i="6"/>
  <c r="P39" i="6"/>
  <c r="O39" i="6"/>
  <c r="N39" i="6"/>
  <c r="M39" i="6"/>
  <c r="I39" i="6"/>
  <c r="H39" i="6"/>
  <c r="G39" i="6"/>
  <c r="F39" i="6"/>
  <c r="E39" i="6"/>
  <c r="D39" i="6"/>
  <c r="C39" i="6"/>
  <c r="B39" i="6"/>
  <c r="AC37" i="6"/>
  <c r="AC36" i="6"/>
  <c r="K36" i="6"/>
  <c r="K39" i="6" s="1"/>
  <c r="J36" i="6"/>
  <c r="AC33" i="6"/>
  <c r="L33" i="6"/>
  <c r="L39" i="6" s="1"/>
  <c r="J33" i="6"/>
  <c r="AC28" i="6"/>
  <c r="AC27" i="6"/>
  <c r="K27" i="6"/>
  <c r="J27" i="6"/>
  <c r="I27" i="6"/>
  <c r="H27" i="6"/>
  <c r="G27" i="6"/>
  <c r="F27" i="6"/>
  <c r="E27" i="6"/>
  <c r="D27" i="6"/>
  <c r="C27" i="6"/>
  <c r="B27" i="6"/>
  <c r="AC26" i="6"/>
  <c r="J26" i="6"/>
  <c r="AC25" i="6"/>
  <c r="AC24" i="6"/>
  <c r="L24" i="6"/>
  <c r="L30" i="6" s="1"/>
  <c r="J24" i="6"/>
  <c r="AC23" i="6"/>
  <c r="J23" i="6"/>
  <c r="AC21" i="6"/>
  <c r="AC20" i="6"/>
  <c r="AC19" i="6"/>
  <c r="AC18" i="6"/>
  <c r="AC17" i="6"/>
  <c r="AC16" i="6"/>
  <c r="AC15" i="6"/>
  <c r="J15" i="6"/>
  <c r="AC14" i="6"/>
  <c r="J14" i="6"/>
  <c r="AC13" i="6"/>
  <c r="AC12" i="6"/>
  <c r="A10" i="6"/>
  <c r="B8" i="6"/>
  <c r="AD8" i="6" s="1"/>
  <c r="A7" i="6"/>
  <c r="A5" i="6"/>
  <c r="AC5" i="6" s="1"/>
  <c r="A3" i="6"/>
  <c r="AC3" i="6" s="1"/>
  <c r="R267" i="5"/>
  <c r="R271" i="5" s="1"/>
  <c r="J267" i="5"/>
  <c r="J271" i="5" s="1"/>
  <c r="I267" i="5"/>
  <c r="I271" i="5" s="1"/>
  <c r="H267" i="5"/>
  <c r="H271" i="5" s="1"/>
  <c r="G267" i="5"/>
  <c r="G271" i="5" s="1"/>
  <c r="F267" i="5"/>
  <c r="F271" i="5" s="1"/>
  <c r="E267" i="5"/>
  <c r="E271" i="5" s="1"/>
  <c r="D267" i="5"/>
  <c r="D271" i="5" s="1"/>
  <c r="C267" i="5"/>
  <c r="C271" i="5" s="1"/>
  <c r="B267" i="5"/>
  <c r="B271" i="5" s="1"/>
  <c r="A267" i="5"/>
  <c r="R260" i="5"/>
  <c r="J260" i="5"/>
  <c r="I260" i="5"/>
  <c r="H260" i="5"/>
  <c r="G260" i="5"/>
  <c r="F260" i="5"/>
  <c r="E260" i="5"/>
  <c r="D260" i="5"/>
  <c r="C260" i="5"/>
  <c r="B260" i="5"/>
  <c r="R257" i="5"/>
  <c r="J257" i="5"/>
  <c r="I257" i="5"/>
  <c r="H257" i="5"/>
  <c r="G257" i="5"/>
  <c r="F257" i="5"/>
  <c r="E257" i="5"/>
  <c r="D257" i="5"/>
  <c r="C257" i="5"/>
  <c r="B257" i="5"/>
  <c r="R255" i="5"/>
  <c r="J255" i="5"/>
  <c r="I255" i="5"/>
  <c r="H255" i="5"/>
  <c r="G255" i="5"/>
  <c r="F255" i="5"/>
  <c r="E255" i="5"/>
  <c r="D255" i="5"/>
  <c r="C255" i="5"/>
  <c r="B255" i="5"/>
  <c r="R250" i="5"/>
  <c r="J250" i="5"/>
  <c r="I250" i="5"/>
  <c r="H250" i="5"/>
  <c r="G250" i="5"/>
  <c r="F250" i="5"/>
  <c r="E250" i="5"/>
  <c r="H244" i="5"/>
  <c r="G244" i="5"/>
  <c r="F244" i="5"/>
  <c r="E244" i="5"/>
  <c r="D244" i="5"/>
  <c r="C244" i="5"/>
  <c r="B244" i="5"/>
  <c r="J230" i="5"/>
  <c r="J231" i="5" s="1"/>
  <c r="I230" i="5"/>
  <c r="I231" i="5" s="1"/>
  <c r="H230" i="5"/>
  <c r="H231" i="5" s="1"/>
  <c r="G230" i="5"/>
  <c r="G231" i="5" s="1"/>
  <c r="F230" i="5"/>
  <c r="F231" i="5" s="1"/>
  <c r="E230" i="5"/>
  <c r="E231" i="5" s="1"/>
  <c r="D230" i="5"/>
  <c r="D231" i="5" s="1"/>
  <c r="C230" i="5"/>
  <c r="C231" i="5" s="1"/>
  <c r="B230" i="5"/>
  <c r="B231" i="5" s="1"/>
  <c r="AK228" i="5"/>
  <c r="AJ228" i="5"/>
  <c r="AI228" i="5"/>
  <c r="AH228" i="5"/>
  <c r="AG228" i="5"/>
  <c r="AF228" i="5"/>
  <c r="AE228" i="5"/>
  <c r="AD228" i="5"/>
  <c r="AC228" i="5"/>
  <c r="T228" i="5"/>
  <c r="R226" i="5"/>
  <c r="R243" i="5" s="1"/>
  <c r="H226" i="5"/>
  <c r="G226" i="5"/>
  <c r="F226" i="5"/>
  <c r="F243" i="5" s="1"/>
  <c r="E226" i="5"/>
  <c r="E243" i="5" s="1"/>
  <c r="D226" i="5"/>
  <c r="D243" i="5" s="1"/>
  <c r="C226" i="5"/>
  <c r="C243" i="5" s="1"/>
  <c r="B226" i="5"/>
  <c r="B243" i="5" s="1"/>
  <c r="AU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R225" i="5"/>
  <c r="H225" i="5"/>
  <c r="G225" i="5"/>
  <c r="F225" i="5"/>
  <c r="E225" i="5"/>
  <c r="D225" i="5"/>
  <c r="C225" i="5"/>
  <c r="B225" i="5"/>
  <c r="AU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AC222" i="5"/>
  <c r="AB222" i="5"/>
  <c r="AA222" i="5"/>
  <c r="H218" i="5"/>
  <c r="G218" i="5"/>
  <c r="F218" i="5"/>
  <c r="E218" i="5"/>
  <c r="D218" i="5"/>
  <c r="C218" i="5"/>
  <c r="B218" i="5"/>
  <c r="U217" i="5"/>
  <c r="H216" i="5"/>
  <c r="G216" i="5"/>
  <c r="F216" i="5"/>
  <c r="E216" i="5"/>
  <c r="D216" i="5"/>
  <c r="C216" i="5"/>
  <c r="B216" i="5"/>
  <c r="R214" i="5"/>
  <c r="J214" i="5"/>
  <c r="I214" i="5"/>
  <c r="I221" i="5" s="1"/>
  <c r="H214" i="5"/>
  <c r="H213" i="5" s="1"/>
  <c r="H219" i="5" s="1"/>
  <c r="G214" i="5"/>
  <c r="G221" i="5" s="1"/>
  <c r="F214" i="5"/>
  <c r="F213" i="5" s="1"/>
  <c r="F219" i="5" s="1"/>
  <c r="E214" i="5"/>
  <c r="E213" i="5" s="1"/>
  <c r="E219" i="5" s="1"/>
  <c r="D214" i="5"/>
  <c r="D213" i="5" s="1"/>
  <c r="D219" i="5" s="1"/>
  <c r="C214" i="5"/>
  <c r="C221" i="5" s="1"/>
  <c r="B214" i="5"/>
  <c r="U212" i="5"/>
  <c r="AC209" i="5"/>
  <c r="AC212" i="5" s="1"/>
  <c r="AC217" i="5" s="1"/>
  <c r="AB209" i="5"/>
  <c r="AB212" i="5" s="1"/>
  <c r="AB217" i="5" s="1"/>
  <c r="AA209" i="5"/>
  <c r="AA212" i="5" s="1"/>
  <c r="AA217" i="5" s="1"/>
  <c r="Z209" i="5"/>
  <c r="Z212" i="5" s="1"/>
  <c r="Z217" i="5" s="1"/>
  <c r="Y209" i="5"/>
  <c r="Y212" i="5" s="1"/>
  <c r="Y217" i="5" s="1"/>
  <c r="X209" i="5"/>
  <c r="X212" i="5" s="1"/>
  <c r="X217" i="5" s="1"/>
  <c r="W209" i="5"/>
  <c r="W212" i="5" s="1"/>
  <c r="W217" i="5" s="1"/>
  <c r="V209" i="5"/>
  <c r="V212" i="5" s="1"/>
  <c r="V217" i="5" s="1"/>
  <c r="U207" i="5"/>
  <c r="U203" i="5"/>
  <c r="J203" i="5"/>
  <c r="S203" i="5" s="1"/>
  <c r="R201" i="5"/>
  <c r="J201" i="5"/>
  <c r="I201" i="5"/>
  <c r="I205" i="5" s="1"/>
  <c r="H201" i="5"/>
  <c r="H205" i="5" s="1"/>
  <c r="H209" i="5" s="1"/>
  <c r="G201" i="5"/>
  <c r="F201" i="5"/>
  <c r="E201" i="5"/>
  <c r="E205" i="5" s="1"/>
  <c r="D201" i="5"/>
  <c r="D205" i="5" s="1"/>
  <c r="D209" i="5" s="1"/>
  <c r="C201" i="5"/>
  <c r="U200" i="5"/>
  <c r="R203" i="5"/>
  <c r="U199" i="5"/>
  <c r="U198" i="5"/>
  <c r="U197" i="5"/>
  <c r="U196" i="5"/>
  <c r="U195" i="5"/>
  <c r="U194" i="5"/>
  <c r="U193" i="5"/>
  <c r="AA183" i="5"/>
  <c r="AB183" i="5" s="1"/>
  <c r="AC183" i="5" s="1"/>
  <c r="AD183" i="5" s="1"/>
  <c r="AE183" i="5" s="1"/>
  <c r="AF183" i="5" s="1"/>
  <c r="AG183" i="5" s="1"/>
  <c r="AH183" i="5" s="1"/>
  <c r="AI183" i="5" s="1"/>
  <c r="AJ183" i="5" s="1"/>
  <c r="AK183" i="5" s="1"/>
  <c r="AL183" i="5" s="1"/>
  <c r="AM183" i="5" s="1"/>
  <c r="AN183" i="5" s="1"/>
  <c r="AO183" i="5" s="1"/>
  <c r="AP183" i="5" s="1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AW174" i="5"/>
  <c r="AW175" i="5" s="1"/>
  <c r="K173" i="5"/>
  <c r="J173" i="5"/>
  <c r="I173" i="5"/>
  <c r="H173" i="5"/>
  <c r="G173" i="5"/>
  <c r="F173" i="5"/>
  <c r="E173" i="5"/>
  <c r="D173" i="5"/>
  <c r="C173" i="5"/>
  <c r="B173" i="5"/>
  <c r="AW172" i="5"/>
  <c r="T168" i="5"/>
  <c r="AU161" i="5"/>
  <c r="AM161" i="5"/>
  <c r="AL161" i="5"/>
  <c r="AK161" i="5"/>
  <c r="AK167" i="5" s="1"/>
  <c r="AJ161" i="5"/>
  <c r="AJ167" i="5" s="1"/>
  <c r="AI161" i="5"/>
  <c r="AI168" i="5" s="1"/>
  <c r="AH161" i="5"/>
  <c r="AG161" i="5"/>
  <c r="AG165" i="5" s="1"/>
  <c r="AF161" i="5"/>
  <c r="AF167" i="5" s="1"/>
  <c r="AE161" i="5"/>
  <c r="AE168" i="5" s="1"/>
  <c r="AD161" i="5"/>
  <c r="AC161" i="5"/>
  <c r="AC167" i="5" s="1"/>
  <c r="AB161" i="5"/>
  <c r="AA161" i="5"/>
  <c r="AA168" i="5" s="1"/>
  <c r="Z161" i="5"/>
  <c r="AZ158" i="5"/>
  <c r="AZ159" i="5" s="1"/>
  <c r="AY158" i="5"/>
  <c r="AY159" i="5" s="1"/>
  <c r="AX158" i="5"/>
  <c r="AX159" i="5" s="1"/>
  <c r="AW158" i="5"/>
  <c r="AW159" i="5" s="1"/>
  <c r="AU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T152" i="5"/>
  <c r="T151" i="5"/>
  <c r="T150" i="5"/>
  <c r="T149" i="5"/>
  <c r="T160" i="5" s="1"/>
  <c r="T167" i="5" s="1"/>
  <c r="T173" i="5" s="1"/>
  <c r="T148" i="5"/>
  <c r="T157" i="5" s="1"/>
  <c r="T166" i="5" s="1"/>
  <c r="T172" i="5" s="1"/>
  <c r="T146" i="5"/>
  <c r="T156" i="5" s="1"/>
  <c r="T165" i="5" s="1"/>
  <c r="T171" i="5" s="1"/>
  <c r="AN143" i="5"/>
  <c r="AK142" i="5"/>
  <c r="AJ142" i="5"/>
  <c r="AI142" i="5"/>
  <c r="AI148" i="5" s="1"/>
  <c r="AH142" i="5"/>
  <c r="AG142" i="5"/>
  <c r="AF142" i="5"/>
  <c r="AF148" i="5" s="1"/>
  <c r="AE142" i="5"/>
  <c r="AE148" i="5" s="1"/>
  <c r="AD142" i="5"/>
  <c r="AD148" i="5" s="1"/>
  <c r="AC142" i="5"/>
  <c r="AB142" i="5"/>
  <c r="AB148" i="5" s="1"/>
  <c r="AA142" i="5"/>
  <c r="AA148" i="5" s="1"/>
  <c r="Z142" i="5"/>
  <c r="AU148" i="5"/>
  <c r="AV134" i="5"/>
  <c r="T133" i="5"/>
  <c r="A130" i="5"/>
  <c r="T130" i="5" s="1"/>
  <c r="A128" i="5"/>
  <c r="A187" i="5" s="1"/>
  <c r="AV126" i="5"/>
  <c r="T124" i="5"/>
  <c r="T123" i="5"/>
  <c r="T122" i="5"/>
  <c r="T116" i="5"/>
  <c r="T115" i="5"/>
  <c r="T114" i="5"/>
  <c r="T113" i="5"/>
  <c r="T111" i="5"/>
  <c r="R111" i="5"/>
  <c r="K111" i="5"/>
  <c r="J111" i="5"/>
  <c r="I111" i="5"/>
  <c r="H111" i="5"/>
  <c r="G111" i="5"/>
  <c r="F111" i="5"/>
  <c r="E111" i="5"/>
  <c r="D111" i="5"/>
  <c r="C111" i="5"/>
  <c r="B111" i="5"/>
  <c r="T110" i="5"/>
  <c r="T109" i="5"/>
  <c r="T108" i="5"/>
  <c r="T107" i="5"/>
  <c r="R104" i="5"/>
  <c r="K104" i="5"/>
  <c r="H104" i="5"/>
  <c r="G104" i="5"/>
  <c r="F104" i="5"/>
  <c r="E104" i="5"/>
  <c r="D104" i="5"/>
  <c r="C104" i="5"/>
  <c r="B104" i="5"/>
  <c r="T103" i="5"/>
  <c r="T102" i="5"/>
  <c r="T101" i="5"/>
  <c r="T100" i="5"/>
  <c r="T99" i="5"/>
  <c r="AW98" i="5"/>
  <c r="T98" i="5"/>
  <c r="J98" i="5"/>
  <c r="I98" i="5"/>
  <c r="AW97" i="5"/>
  <c r="T97" i="5"/>
  <c r="AW96" i="5"/>
  <c r="AW95" i="5"/>
  <c r="T94" i="5"/>
  <c r="R94" i="5"/>
  <c r="K94" i="5"/>
  <c r="H94" i="5"/>
  <c r="G94" i="5"/>
  <c r="F94" i="5"/>
  <c r="AI103" i="5" s="1"/>
  <c r="E94" i="5"/>
  <c r="AH92" i="5" s="1"/>
  <c r="D94" i="5"/>
  <c r="C94" i="5"/>
  <c r="AF108" i="5" s="1"/>
  <c r="B94" i="5"/>
  <c r="AE97" i="5" s="1"/>
  <c r="AD93" i="5"/>
  <c r="Z93" i="5"/>
  <c r="Y98" i="5"/>
  <c r="T93" i="5"/>
  <c r="U97" i="5"/>
  <c r="T92" i="5"/>
  <c r="J92" i="5"/>
  <c r="I92" i="5"/>
  <c r="U89" i="5"/>
  <c r="AV88" i="5"/>
  <c r="S88" i="5"/>
  <c r="R88" i="5"/>
  <c r="AU88" i="5" s="1"/>
  <c r="S87" i="5"/>
  <c r="A85" i="5"/>
  <c r="T83" i="5"/>
  <c r="A83" i="5"/>
  <c r="T78" i="5"/>
  <c r="T77" i="5"/>
  <c r="K77" i="5"/>
  <c r="L151" i="5" s="1"/>
  <c r="T76" i="5"/>
  <c r="T75" i="5"/>
  <c r="R77" i="5"/>
  <c r="J75" i="5"/>
  <c r="I75" i="5"/>
  <c r="H75" i="5"/>
  <c r="G75" i="5"/>
  <c r="G77" i="5" s="1"/>
  <c r="F75" i="5"/>
  <c r="E75" i="5"/>
  <c r="E77" i="5" s="1"/>
  <c r="D75" i="5"/>
  <c r="D77" i="5" s="1"/>
  <c r="D169" i="5" s="1"/>
  <c r="C75" i="5"/>
  <c r="C77" i="5" s="1"/>
  <c r="B75" i="5"/>
  <c r="B77" i="5" s="1"/>
  <c r="T74" i="5"/>
  <c r="T72" i="5"/>
  <c r="T70" i="5"/>
  <c r="T68" i="5"/>
  <c r="R68" i="5"/>
  <c r="K68" i="5"/>
  <c r="J68" i="5"/>
  <c r="I68" i="5"/>
  <c r="H68" i="5"/>
  <c r="G68" i="5"/>
  <c r="F68" i="5"/>
  <c r="E68" i="5"/>
  <c r="D68" i="5"/>
  <c r="C68" i="5"/>
  <c r="B68" i="5"/>
  <c r="T67" i="5"/>
  <c r="T65" i="5"/>
  <c r="T64" i="5"/>
  <c r="T63" i="5"/>
  <c r="T62" i="5"/>
  <c r="T61" i="5"/>
  <c r="K59" i="5"/>
  <c r="J59" i="5"/>
  <c r="I59" i="5"/>
  <c r="H59" i="5"/>
  <c r="G59" i="5"/>
  <c r="F59" i="5"/>
  <c r="E59" i="5"/>
  <c r="E138" i="5" s="1"/>
  <c r="D59" i="5"/>
  <c r="D138" i="5" s="1"/>
  <c r="C59" i="5"/>
  <c r="B59" i="5"/>
  <c r="T58" i="5"/>
  <c r="R59" i="5"/>
  <c r="R138" i="5" s="1"/>
  <c r="T55" i="5"/>
  <c r="T54" i="5"/>
  <c r="T53" i="5"/>
  <c r="T52" i="5"/>
  <c r="T51" i="5"/>
  <c r="T50" i="5"/>
  <c r="T49" i="5"/>
  <c r="T48" i="5"/>
  <c r="T47" i="5"/>
  <c r="R42" i="5"/>
  <c r="K42" i="5"/>
  <c r="J42" i="5"/>
  <c r="I42" i="5"/>
  <c r="H42" i="5"/>
  <c r="G42" i="5"/>
  <c r="F42" i="5"/>
  <c r="E42" i="5"/>
  <c r="D42" i="5"/>
  <c r="C42" i="5"/>
  <c r="B42" i="5"/>
  <c r="T41" i="5"/>
  <c r="T40" i="5"/>
  <c r="T38" i="5"/>
  <c r="T37" i="5"/>
  <c r="T36" i="5"/>
  <c r="T34" i="5"/>
  <c r="T32" i="5"/>
  <c r="T30" i="5"/>
  <c r="R30" i="5"/>
  <c r="R34" i="5" s="1"/>
  <c r="K30" i="5"/>
  <c r="H30" i="5"/>
  <c r="G30" i="5"/>
  <c r="F30" i="5"/>
  <c r="E30" i="5"/>
  <c r="D30" i="5"/>
  <c r="D34" i="5" s="1"/>
  <c r="C30" i="5"/>
  <c r="C34" i="5" s="1"/>
  <c r="B30" i="5"/>
  <c r="B34" i="5" s="1"/>
  <c r="T29" i="5"/>
  <c r="T28" i="5"/>
  <c r="T27" i="5"/>
  <c r="J27" i="5"/>
  <c r="I27" i="5"/>
  <c r="T24" i="5"/>
  <c r="K24" i="5"/>
  <c r="H24" i="5"/>
  <c r="G24" i="5"/>
  <c r="F24" i="5"/>
  <c r="E24" i="5"/>
  <c r="D24" i="5"/>
  <c r="C24" i="5"/>
  <c r="B24" i="5"/>
  <c r="T23" i="5"/>
  <c r="J23" i="5"/>
  <c r="T22" i="5"/>
  <c r="T21" i="5"/>
  <c r="T20" i="5"/>
  <c r="T18" i="5"/>
  <c r="T17" i="5"/>
  <c r="T16" i="5"/>
  <c r="T15" i="5"/>
  <c r="I15" i="5"/>
  <c r="T14" i="5"/>
  <c r="T13" i="5"/>
  <c r="R24" i="5"/>
  <c r="T12" i="5"/>
  <c r="T11" i="5"/>
  <c r="U8" i="5"/>
  <c r="AU7" i="5"/>
  <c r="T3" i="5"/>
  <c r="R137" i="5" l="1"/>
  <c r="R148" i="5"/>
  <c r="R227" i="5" s="1"/>
  <c r="R139" i="5"/>
  <c r="R177" i="5"/>
  <c r="R144" i="5"/>
  <c r="R143" i="5"/>
  <c r="R70" i="5"/>
  <c r="R142" i="5" s="1"/>
  <c r="Z226" i="5"/>
  <c r="AH226" i="5"/>
  <c r="AJ226" i="5"/>
  <c r="AD226" i="5"/>
  <c r="AU226" i="5"/>
  <c r="AC226" i="5"/>
  <c r="AK226" i="5"/>
  <c r="C137" i="5"/>
  <c r="U216" i="5"/>
  <c r="J94" i="5"/>
  <c r="AM94" i="5" s="1"/>
  <c r="J30" i="5"/>
  <c r="J24" i="5"/>
  <c r="J226" i="5"/>
  <c r="J243" i="5" s="1"/>
  <c r="J77" i="5"/>
  <c r="AV224" i="5"/>
  <c r="E245" i="5"/>
  <c r="I77" i="5"/>
  <c r="I176" i="5" s="1"/>
  <c r="I30" i="5"/>
  <c r="I34" i="5" s="1"/>
  <c r="C213" i="5"/>
  <c r="C219" i="5" s="1"/>
  <c r="AK93" i="5"/>
  <c r="H34" i="5"/>
  <c r="H43" i="5" s="1"/>
  <c r="I138" i="5"/>
  <c r="H77" i="5"/>
  <c r="H236" i="5" s="1"/>
  <c r="I94" i="5"/>
  <c r="I139" i="5" s="1"/>
  <c r="I226" i="5"/>
  <c r="AL159" i="5"/>
  <c r="J205" i="5"/>
  <c r="G213" i="5"/>
  <c r="G219" i="5" s="1"/>
  <c r="AA226" i="5"/>
  <c r="AE226" i="5"/>
  <c r="AI226" i="5"/>
  <c r="C245" i="5"/>
  <c r="AA59" i="5"/>
  <c r="AX96" i="5"/>
  <c r="AX98" i="5" s="1"/>
  <c r="AB226" i="5"/>
  <c r="AF226" i="5"/>
  <c r="D245" i="5"/>
  <c r="J39" i="6"/>
  <c r="AU107" i="5"/>
  <c r="AU92" i="5"/>
  <c r="R249" i="5"/>
  <c r="L159" i="5"/>
  <c r="AK166" i="5"/>
  <c r="AJ93" i="5"/>
  <c r="AD108" i="5"/>
  <c r="G205" i="5"/>
  <c r="L154" i="5"/>
  <c r="L152" i="5"/>
  <c r="L224" i="5"/>
  <c r="L139" i="5"/>
  <c r="H243" i="5"/>
  <c r="H245" i="5" s="1"/>
  <c r="H138" i="5"/>
  <c r="R222" i="5"/>
  <c r="R221" i="5"/>
  <c r="AU94" i="5"/>
  <c r="AU100" i="5"/>
  <c r="AU103" i="5"/>
  <c r="L58" i="6"/>
  <c r="B170" i="5"/>
  <c r="AJ168" i="5"/>
  <c r="Z92" i="5"/>
  <c r="V93" i="5"/>
  <c r="AJ148" i="5"/>
  <c r="AI149" i="5"/>
  <c r="AA151" i="5"/>
  <c r="AI165" i="5"/>
  <c r="AE167" i="5"/>
  <c r="AV225" i="5"/>
  <c r="AA149" i="5"/>
  <c r="V8" i="5"/>
  <c r="F77" i="5"/>
  <c r="F181" i="5" s="1"/>
  <c r="V89" i="5"/>
  <c r="AN108" i="5"/>
  <c r="AN100" i="5"/>
  <c r="AN94" i="5"/>
  <c r="AN107" i="5"/>
  <c r="AN99" i="5"/>
  <c r="AN93" i="5"/>
  <c r="AN115" i="5"/>
  <c r="AN103" i="5"/>
  <c r="AN101" i="5"/>
  <c r="AN92" i="5"/>
  <c r="AN98" i="5"/>
  <c r="AN97" i="5"/>
  <c r="Z104" i="5"/>
  <c r="AN111" i="5"/>
  <c r="AI151" i="5"/>
  <c r="AG159" i="5"/>
  <c r="AA166" i="5"/>
  <c r="A189" i="5"/>
  <c r="I225" i="5"/>
  <c r="AM152" i="5"/>
  <c r="AA165" i="5"/>
  <c r="AI166" i="5"/>
  <c r="J225" i="5"/>
  <c r="B245" i="5"/>
  <c r="F245" i="5"/>
  <c r="G148" i="5"/>
  <c r="AB100" i="5"/>
  <c r="AF104" i="5"/>
  <c r="AB93" i="5"/>
  <c r="AJ100" i="5"/>
  <c r="AB115" i="5"/>
  <c r="AB92" i="5"/>
  <c r="AB94" i="5"/>
  <c r="AF99" i="5"/>
  <c r="AN104" i="5"/>
  <c r="AB111" i="5"/>
  <c r="AF111" i="5"/>
  <c r="AF115" i="5"/>
  <c r="AB104" i="5"/>
  <c r="G243" i="5"/>
  <c r="G245" i="5" s="1"/>
  <c r="AJ92" i="5"/>
  <c r="AJ111" i="5"/>
  <c r="F205" i="5"/>
  <c r="F34" i="5"/>
  <c r="F44" i="5" s="1"/>
  <c r="K34" i="5"/>
  <c r="G138" i="5"/>
  <c r="K138" i="5"/>
  <c r="C70" i="5"/>
  <c r="C142" i="5" s="1"/>
  <c r="G70" i="5"/>
  <c r="K137" i="5"/>
  <c r="K249" i="5"/>
  <c r="G34" i="5"/>
  <c r="G43" i="5" s="1"/>
  <c r="R43" i="5"/>
  <c r="G143" i="5"/>
  <c r="K182" i="5"/>
  <c r="K236" i="5"/>
  <c r="AF92" i="5"/>
  <c r="AF93" i="5"/>
  <c r="F157" i="5"/>
  <c r="AJ94" i="5"/>
  <c r="AB99" i="5"/>
  <c r="AG10" i="6"/>
  <c r="H157" i="5"/>
  <c r="AK115" i="5"/>
  <c r="AK108" i="5"/>
  <c r="AK99" i="5"/>
  <c r="AK98" i="5"/>
  <c r="H158" i="5"/>
  <c r="AK94" i="5"/>
  <c r="AK92" i="5"/>
  <c r="AK97" i="5"/>
  <c r="AK100" i="5"/>
  <c r="AK101" i="5"/>
  <c r="R105" i="5"/>
  <c r="R113" i="5" s="1"/>
  <c r="AU104" i="5"/>
  <c r="H105" i="5"/>
  <c r="AC148" i="5"/>
  <c r="AC146" i="5"/>
  <c r="AG148" i="5"/>
  <c r="AG152" i="5"/>
  <c r="AK148" i="5"/>
  <c r="AK150" i="5"/>
  <c r="AG226" i="5"/>
  <c r="AD94" i="5"/>
  <c r="AD92" i="5"/>
  <c r="T128" i="5"/>
  <c r="AL152" i="5"/>
  <c r="AL148" i="5"/>
  <c r="R205" i="5"/>
  <c r="R209" i="5" s="1"/>
  <c r="E137" i="5"/>
  <c r="I24" i="5"/>
  <c r="I70" i="5"/>
  <c r="AL99" i="5"/>
  <c r="AD100" i="5"/>
  <c r="AK104" i="5"/>
  <c r="AU111" i="5"/>
  <c r="AK146" i="5"/>
  <c r="AC150" i="5"/>
  <c r="AB167" i="5"/>
  <c r="AB168" i="5"/>
  <c r="B221" i="5"/>
  <c r="B213" i="5"/>
  <c r="B219" i="5" s="1"/>
  <c r="AH100" i="5"/>
  <c r="AH108" i="5"/>
  <c r="AH93" i="5"/>
  <c r="Z94" i="5"/>
  <c r="AH99" i="5"/>
  <c r="AJ104" i="5"/>
  <c r="AH143" i="5"/>
  <c r="W103" i="5"/>
  <c r="W101" i="5"/>
  <c r="V108" i="5"/>
  <c r="V99" i="5"/>
  <c r="V94" i="5"/>
  <c r="V92" i="5"/>
  <c r="AU101" i="5"/>
  <c r="AU97" i="5"/>
  <c r="AU93" i="5"/>
  <c r="AU115" i="5"/>
  <c r="AU108" i="5"/>
  <c r="AU99" i="5"/>
  <c r="AU98" i="5"/>
  <c r="AH94" i="5"/>
  <c r="AD99" i="5"/>
  <c r="AD104" i="5"/>
  <c r="Z99" i="5"/>
  <c r="AK103" i="5"/>
  <c r="AK107" i="5"/>
  <c r="Z108" i="5"/>
  <c r="R133" i="5"/>
  <c r="AM143" i="5"/>
  <c r="H148" i="5"/>
  <c r="AK159" i="5"/>
  <c r="AC168" i="5"/>
  <c r="AC165" i="5"/>
  <c r="AG162" i="5"/>
  <c r="AG166" i="5"/>
  <c r="AG167" i="5"/>
  <c r="AK162" i="5"/>
  <c r="AK165" i="5"/>
  <c r="AC166" i="5"/>
  <c r="AF168" i="5"/>
  <c r="I222" i="5"/>
  <c r="AA105" i="5"/>
  <c r="AJ99" i="5"/>
  <c r="AF100" i="5"/>
  <c r="V104" i="5"/>
  <c r="I104" i="5"/>
  <c r="AJ115" i="5"/>
  <c r="AH159" i="5"/>
  <c r="AH162" i="5"/>
  <c r="AE166" i="5"/>
  <c r="AF94" i="5"/>
  <c r="J104" i="5"/>
  <c r="AK111" i="5"/>
  <c r="C148" i="5"/>
  <c r="C227" i="5" s="1"/>
  <c r="AE165" i="5"/>
  <c r="AA167" i="5"/>
  <c r="AI167" i="5"/>
  <c r="G222" i="5"/>
  <c r="AD143" i="5"/>
  <c r="AE146" i="5"/>
  <c r="AL146" i="5"/>
  <c r="AM148" i="5"/>
  <c r="AC149" i="5"/>
  <c r="AK149" i="5"/>
  <c r="AE150" i="5"/>
  <c r="AL150" i="5"/>
  <c r="AC151" i="5"/>
  <c r="AK151" i="5"/>
  <c r="AA152" i="5"/>
  <c r="AI152" i="5"/>
  <c r="AG146" i="5"/>
  <c r="AM146" i="5"/>
  <c r="AE149" i="5"/>
  <c r="AL149" i="5"/>
  <c r="AG150" i="5"/>
  <c r="AE151" i="5"/>
  <c r="AL151" i="5"/>
  <c r="AC152" i="5"/>
  <c r="AK152" i="5"/>
  <c r="AL143" i="5"/>
  <c r="AA146" i="5"/>
  <c r="AI146" i="5"/>
  <c r="AG149" i="5"/>
  <c r="AM149" i="5"/>
  <c r="AA150" i="5"/>
  <c r="AI150" i="5"/>
  <c r="AG151" i="5"/>
  <c r="AM151" i="5"/>
  <c r="AE152" i="5"/>
  <c r="D43" i="5"/>
  <c r="E34" i="5"/>
  <c r="E44" i="5" s="1"/>
  <c r="AH30" i="5" s="1"/>
  <c r="B43" i="5"/>
  <c r="D137" i="5"/>
  <c r="D44" i="5"/>
  <c r="AG24" i="5" s="1"/>
  <c r="H137" i="5"/>
  <c r="R44" i="5"/>
  <c r="AU56" i="5" s="1"/>
  <c r="C43" i="5"/>
  <c r="C44" i="5"/>
  <c r="AF34" i="5" s="1"/>
  <c r="C8" i="6"/>
  <c r="AE8" i="6" s="1"/>
  <c r="D236" i="5"/>
  <c r="D180" i="5"/>
  <c r="D177" i="5"/>
  <c r="D176" i="5"/>
  <c r="D143" i="5"/>
  <c r="D181" i="5"/>
  <c r="D144" i="5"/>
  <c r="D182" i="5"/>
  <c r="H176" i="5"/>
  <c r="R236" i="5"/>
  <c r="R182" i="5"/>
  <c r="R181" i="5"/>
  <c r="R180" i="5"/>
  <c r="R176" i="5"/>
  <c r="R169" i="5"/>
  <c r="AD10" i="6"/>
  <c r="AD15" i="6" s="1"/>
  <c r="U108" i="5"/>
  <c r="U94" i="5"/>
  <c r="U93" i="5"/>
  <c r="U114" i="5"/>
  <c r="U103" i="5"/>
  <c r="U102" i="5"/>
  <c r="U115" i="5"/>
  <c r="U110" i="5"/>
  <c r="U109" i="5"/>
  <c r="U99" i="5"/>
  <c r="U101" i="5"/>
  <c r="U107" i="5"/>
  <c r="U98" i="5"/>
  <c r="U92" i="5"/>
  <c r="AH10" i="6"/>
  <c r="Y108" i="5"/>
  <c r="Y94" i="5"/>
  <c r="Y93" i="5"/>
  <c r="Y114" i="5"/>
  <c r="Y103" i="5"/>
  <c r="Y102" i="5"/>
  <c r="Y115" i="5"/>
  <c r="Y110" i="5"/>
  <c r="Y109" i="5"/>
  <c r="Y99" i="5"/>
  <c r="Y107" i="5"/>
  <c r="Y97" i="5"/>
  <c r="Y101" i="5"/>
  <c r="Y92" i="5"/>
  <c r="AL10" i="6"/>
  <c r="AL23" i="6" s="1"/>
  <c r="AC108" i="5"/>
  <c r="AC94" i="5"/>
  <c r="AC93" i="5"/>
  <c r="AC103" i="5"/>
  <c r="AC115" i="5"/>
  <c r="AC100" i="5"/>
  <c r="AC99" i="5"/>
  <c r="AC101" i="5"/>
  <c r="AC98" i="5"/>
  <c r="AC92" i="5"/>
  <c r="AP10" i="6"/>
  <c r="AP50" i="6" s="1"/>
  <c r="D224" i="5"/>
  <c r="D159" i="5"/>
  <c r="D158" i="5"/>
  <c r="D157" i="5"/>
  <c r="D148" i="5"/>
  <c r="D227" i="5" s="1"/>
  <c r="AG108" i="5"/>
  <c r="AG94" i="5"/>
  <c r="AG93" i="5"/>
  <c r="D160" i="5"/>
  <c r="D105" i="5"/>
  <c r="AG103" i="5"/>
  <c r="AG115" i="5"/>
  <c r="AG104" i="5"/>
  <c r="AG100" i="5"/>
  <c r="AG99" i="5"/>
  <c r="AG101" i="5"/>
  <c r="E139" i="5"/>
  <c r="AG97" i="5"/>
  <c r="AW94" i="5"/>
  <c r="AG107" i="5"/>
  <c r="AG92" i="5"/>
  <c r="AC97" i="5"/>
  <c r="AG98" i="5"/>
  <c r="AC107" i="5"/>
  <c r="D8" i="6"/>
  <c r="AF8" i="6" s="1"/>
  <c r="B137" i="5"/>
  <c r="B44" i="5"/>
  <c r="AE24" i="5" s="1"/>
  <c r="F137" i="5"/>
  <c r="J249" i="5"/>
  <c r="B138" i="5"/>
  <c r="F138" i="5"/>
  <c r="J138" i="5"/>
  <c r="B70" i="5"/>
  <c r="B78" i="5" s="1"/>
  <c r="F70" i="5"/>
  <c r="J70" i="5"/>
  <c r="D70" i="5"/>
  <c r="D142" i="5" s="1"/>
  <c r="H159" i="5"/>
  <c r="G137" i="5"/>
  <c r="H70" i="5"/>
  <c r="E70" i="5"/>
  <c r="E142" i="5" s="1"/>
  <c r="E177" i="5"/>
  <c r="E236" i="5"/>
  <c r="E176" i="5"/>
  <c r="E182" i="5"/>
  <c r="E181" i="5"/>
  <c r="E180" i="5"/>
  <c r="E169" i="5"/>
  <c r="E143" i="5"/>
  <c r="W97" i="5"/>
  <c r="AA98" i="5"/>
  <c r="AI98" i="5"/>
  <c r="U104" i="5"/>
  <c r="Y104" i="5"/>
  <c r="AC104" i="5"/>
  <c r="U111" i="5"/>
  <c r="Y111" i="5"/>
  <c r="AC111" i="5"/>
  <c r="AG111" i="5"/>
  <c r="U201" i="5"/>
  <c r="C205" i="5"/>
  <c r="B236" i="5"/>
  <c r="B176" i="5"/>
  <c r="B182" i="5"/>
  <c r="B181" i="5"/>
  <c r="B180" i="5"/>
  <c r="B169" i="5"/>
  <c r="B177" i="5"/>
  <c r="B143" i="5"/>
  <c r="AF10" i="6"/>
  <c r="AF39" i="6" s="1"/>
  <c r="W115" i="5"/>
  <c r="W110" i="5"/>
  <c r="W109" i="5"/>
  <c r="W99" i="5"/>
  <c r="W107" i="5"/>
  <c r="W108" i="5"/>
  <c r="W94" i="5"/>
  <c r="W93" i="5"/>
  <c r="AJ10" i="6"/>
  <c r="AJ33" i="6" s="1"/>
  <c r="AA115" i="5"/>
  <c r="AA100" i="5"/>
  <c r="AA99" i="5"/>
  <c r="AA107" i="5"/>
  <c r="AA101" i="5"/>
  <c r="AA108" i="5"/>
  <c r="AA94" i="5"/>
  <c r="AA93" i="5"/>
  <c r="AN10" i="6"/>
  <c r="AN50" i="6" s="1"/>
  <c r="B224" i="5"/>
  <c r="B148" i="5"/>
  <c r="B227" i="5" s="1"/>
  <c r="B157" i="5"/>
  <c r="C139" i="5"/>
  <c r="AE115" i="5"/>
  <c r="AE104" i="5"/>
  <c r="AE100" i="5"/>
  <c r="AE99" i="5"/>
  <c r="AE107" i="5"/>
  <c r="AE101" i="5"/>
  <c r="B158" i="5"/>
  <c r="AE108" i="5"/>
  <c r="AE94" i="5"/>
  <c r="AE93" i="5"/>
  <c r="AR10" i="6"/>
  <c r="AR50" i="6" s="1"/>
  <c r="F224" i="5"/>
  <c r="F148" i="5"/>
  <c r="F159" i="5"/>
  <c r="AI115" i="5"/>
  <c r="AI104" i="5"/>
  <c r="AI100" i="5"/>
  <c r="AI99" i="5"/>
  <c r="F158" i="5"/>
  <c r="AI107" i="5"/>
  <c r="AI101" i="5"/>
  <c r="G139" i="5"/>
  <c r="AI108" i="5"/>
  <c r="AI94" i="5"/>
  <c r="AI93" i="5"/>
  <c r="W102" i="5"/>
  <c r="AA103" i="5"/>
  <c r="B105" i="5"/>
  <c r="W114" i="5"/>
  <c r="C138" i="5"/>
  <c r="B144" i="5"/>
  <c r="AI159" i="5"/>
  <c r="Z168" i="5"/>
  <c r="Z167" i="5"/>
  <c r="Z166" i="5"/>
  <c r="Z165" i="5"/>
  <c r="AD168" i="5"/>
  <c r="AD167" i="5"/>
  <c r="AD166" i="5"/>
  <c r="AD165" i="5"/>
  <c r="AD162" i="5"/>
  <c r="AH168" i="5"/>
  <c r="AH167" i="5"/>
  <c r="AH166" i="5"/>
  <c r="AH165" i="5"/>
  <c r="AW157" i="5"/>
  <c r="AL168" i="5"/>
  <c r="AL167" i="5"/>
  <c r="AL166" i="5"/>
  <c r="AL165" i="5"/>
  <c r="AL162" i="5"/>
  <c r="C236" i="5"/>
  <c r="C182" i="5"/>
  <c r="C181" i="5"/>
  <c r="C180" i="5"/>
  <c r="C177" i="5"/>
  <c r="C169" i="5"/>
  <c r="C144" i="5"/>
  <c r="C176" i="5"/>
  <c r="C143" i="5"/>
  <c r="G236" i="5"/>
  <c r="G182" i="5"/>
  <c r="G181" i="5"/>
  <c r="G180" i="5"/>
  <c r="G177" i="5"/>
  <c r="G176" i="5"/>
  <c r="G169" i="5"/>
  <c r="W92" i="5"/>
  <c r="AA92" i="5"/>
  <c r="AE92" i="5"/>
  <c r="AI92" i="5"/>
  <c r="AA97" i="5"/>
  <c r="AI97" i="5"/>
  <c r="W98" i="5"/>
  <c r="AE98" i="5"/>
  <c r="AE103" i="5"/>
  <c r="W104" i="5"/>
  <c r="AA104" i="5"/>
  <c r="F105" i="5"/>
  <c r="W111" i="5"/>
  <c r="AA111" i="5"/>
  <c r="AE111" i="5"/>
  <c r="AI111" i="5"/>
  <c r="AE10" i="6"/>
  <c r="AE14" i="6" s="1"/>
  <c r="AI10" i="6"/>
  <c r="AI56" i="6" s="1"/>
  <c r="AM10" i="6"/>
  <c r="AM50" i="6" s="1"/>
  <c r="B139" i="5"/>
  <c r="AQ10" i="6"/>
  <c r="AQ52" i="6" s="1"/>
  <c r="E224" i="5"/>
  <c r="E158" i="5"/>
  <c r="E157" i="5"/>
  <c r="F139" i="5"/>
  <c r="AB97" i="5"/>
  <c r="AF97" i="5"/>
  <c r="AJ97" i="5"/>
  <c r="V98" i="5"/>
  <c r="Z98" i="5"/>
  <c r="AD98" i="5"/>
  <c r="AH98" i="5"/>
  <c r="V101" i="5"/>
  <c r="Z101" i="5"/>
  <c r="AD101" i="5"/>
  <c r="AH101" i="5"/>
  <c r="AB103" i="5"/>
  <c r="AF103" i="5"/>
  <c r="AJ103" i="5"/>
  <c r="C105" i="5"/>
  <c r="G105" i="5"/>
  <c r="V107" i="5"/>
  <c r="Z107" i="5"/>
  <c r="AD107" i="5"/>
  <c r="AH107" i="5"/>
  <c r="AB151" i="5"/>
  <c r="AB149" i="5"/>
  <c r="AB152" i="5"/>
  <c r="AB150" i="5"/>
  <c r="AB146" i="5"/>
  <c r="AF151" i="5"/>
  <c r="AF149" i="5"/>
  <c r="AF152" i="5"/>
  <c r="AF150" i="5"/>
  <c r="AF146" i="5"/>
  <c r="AJ151" i="5"/>
  <c r="AJ149" i="5"/>
  <c r="AK143" i="5"/>
  <c r="AJ152" i="5"/>
  <c r="AJ150" i="5"/>
  <c r="AJ146" i="5"/>
  <c r="AU151" i="5"/>
  <c r="AU149" i="5"/>
  <c r="AU152" i="5"/>
  <c r="AU146" i="5"/>
  <c r="AB143" i="5"/>
  <c r="AJ143" i="5"/>
  <c r="E148" i="5"/>
  <c r="E227" i="5" s="1"/>
  <c r="AJ159" i="5"/>
  <c r="E159" i="5"/>
  <c r="AH104" i="5"/>
  <c r="AB108" i="5"/>
  <c r="AJ108" i="5"/>
  <c r="V109" i="5"/>
  <c r="Z109" i="5"/>
  <c r="V110" i="5"/>
  <c r="V111" i="5"/>
  <c r="Z111" i="5"/>
  <c r="AD111" i="5"/>
  <c r="AH111" i="5"/>
  <c r="V115" i="5"/>
  <c r="Z115" i="5"/>
  <c r="AD115" i="5"/>
  <c r="AH115" i="5"/>
  <c r="AK10" i="6"/>
  <c r="AK36" i="6" s="1"/>
  <c r="AO10" i="6"/>
  <c r="AO52" i="6" s="1"/>
  <c r="C224" i="5"/>
  <c r="C160" i="5"/>
  <c r="C159" i="5"/>
  <c r="C158" i="5"/>
  <c r="C157" i="5"/>
  <c r="D139" i="5"/>
  <c r="H224" i="5"/>
  <c r="G224" i="5"/>
  <c r="AS10" i="6"/>
  <c r="AS56" i="6" s="1"/>
  <c r="G159" i="5"/>
  <c r="G158" i="5"/>
  <c r="G157" i="5"/>
  <c r="H139" i="5"/>
  <c r="V97" i="5"/>
  <c r="Z97" i="5"/>
  <c r="AD97" i="5"/>
  <c r="AH97" i="5"/>
  <c r="AB98" i="5"/>
  <c r="AF98" i="5"/>
  <c r="AJ98" i="5"/>
  <c r="AB101" i="5"/>
  <c r="AF101" i="5"/>
  <c r="AJ101" i="5"/>
  <c r="V102" i="5"/>
  <c r="Z102" i="5"/>
  <c r="V103" i="5"/>
  <c r="Z103" i="5"/>
  <c r="AD103" i="5"/>
  <c r="AH103" i="5"/>
  <c r="E105" i="5"/>
  <c r="AB107" i="5"/>
  <c r="AF107" i="5"/>
  <c r="AJ107" i="5"/>
  <c r="AB109" i="5"/>
  <c r="V114" i="5"/>
  <c r="Z152" i="5"/>
  <c r="Z150" i="5"/>
  <c r="Z146" i="5"/>
  <c r="Z151" i="5"/>
  <c r="Z149" i="5"/>
  <c r="AD152" i="5"/>
  <c r="AD150" i="5"/>
  <c r="AD146" i="5"/>
  <c r="AD151" i="5"/>
  <c r="AD149" i="5"/>
  <c r="AH152" i="5"/>
  <c r="AH150" i="5"/>
  <c r="AH146" i="5"/>
  <c r="AH151" i="5"/>
  <c r="AH149" i="5"/>
  <c r="AF143" i="5"/>
  <c r="Z148" i="5"/>
  <c r="AH148" i="5"/>
  <c r="AA143" i="5"/>
  <c r="AE143" i="5"/>
  <c r="AI143" i="5"/>
  <c r="AE162" i="5"/>
  <c r="AI162" i="5"/>
  <c r="AG168" i="5"/>
  <c r="AK168" i="5"/>
  <c r="AF162" i="5"/>
  <c r="AJ162" i="5"/>
  <c r="E209" i="5"/>
  <c r="E222" i="5"/>
  <c r="E221" i="5"/>
  <c r="AC143" i="5"/>
  <c r="AG143" i="5"/>
  <c r="AB165" i="5"/>
  <c r="AF165" i="5"/>
  <c r="AJ165" i="5"/>
  <c r="AB166" i="5"/>
  <c r="AF166" i="5"/>
  <c r="AJ166" i="5"/>
  <c r="F222" i="5"/>
  <c r="F221" i="5"/>
  <c r="J221" i="5"/>
  <c r="J222" i="5"/>
  <c r="D222" i="5"/>
  <c r="D221" i="5"/>
  <c r="H222" i="5"/>
  <c r="H221" i="5"/>
  <c r="K143" i="5"/>
  <c r="K177" i="5"/>
  <c r="K181" i="5"/>
  <c r="K176" i="5"/>
  <c r="K180" i="5"/>
  <c r="K169" i="5"/>
  <c r="K70" i="5"/>
  <c r="K105" i="5"/>
  <c r="L235" i="5" s="1"/>
  <c r="K148" i="5"/>
  <c r="K227" i="5" s="1"/>
  <c r="K157" i="5"/>
  <c r="K158" i="5"/>
  <c r="H177" i="5" l="1"/>
  <c r="R168" i="5"/>
  <c r="R145" i="5"/>
  <c r="I157" i="5"/>
  <c r="I177" i="5"/>
  <c r="H181" i="5"/>
  <c r="H182" i="5"/>
  <c r="AR37" i="6"/>
  <c r="J137" i="5"/>
  <c r="K159" i="5"/>
  <c r="W59" i="5"/>
  <c r="AM93" i="5"/>
  <c r="K139" i="5"/>
  <c r="J236" i="5"/>
  <c r="F169" i="5"/>
  <c r="H44" i="5"/>
  <c r="AK75" i="5" s="1"/>
  <c r="J182" i="5"/>
  <c r="J157" i="5"/>
  <c r="AM99" i="5"/>
  <c r="AM107" i="5"/>
  <c r="J176" i="5"/>
  <c r="AM92" i="5"/>
  <c r="J177" i="5"/>
  <c r="AM115" i="5"/>
  <c r="AM97" i="5"/>
  <c r="J143" i="5"/>
  <c r="AM101" i="5"/>
  <c r="K224" i="5"/>
  <c r="J169" i="5"/>
  <c r="AM108" i="5"/>
  <c r="J148" i="5"/>
  <c r="J227" i="5" s="1"/>
  <c r="J180" i="5"/>
  <c r="AM100" i="5"/>
  <c r="J181" i="5"/>
  <c r="J158" i="5"/>
  <c r="AM103" i="5"/>
  <c r="AM111" i="5"/>
  <c r="I236" i="5"/>
  <c r="J142" i="5"/>
  <c r="I143" i="5"/>
  <c r="I169" i="5"/>
  <c r="J34" i="5"/>
  <c r="J160" i="5" s="1"/>
  <c r="I181" i="5"/>
  <c r="AM104" i="5"/>
  <c r="I182" i="5"/>
  <c r="I243" i="5"/>
  <c r="AM98" i="5"/>
  <c r="J209" i="5"/>
  <c r="S209" i="5" s="1"/>
  <c r="S205" i="5"/>
  <c r="AI47" i="6"/>
  <c r="I144" i="5"/>
  <c r="I209" i="5"/>
  <c r="F182" i="5"/>
  <c r="I142" i="5"/>
  <c r="X101" i="5"/>
  <c r="X98" i="5"/>
  <c r="F176" i="5"/>
  <c r="W105" i="5"/>
  <c r="H143" i="5"/>
  <c r="H180" i="5"/>
  <c r="AL97" i="5"/>
  <c r="AV226" i="5"/>
  <c r="I180" i="5"/>
  <c r="AL111" i="5"/>
  <c r="F177" i="5"/>
  <c r="H144" i="5"/>
  <c r="H169" i="5"/>
  <c r="F43" i="5"/>
  <c r="AL94" i="5"/>
  <c r="H113" i="5"/>
  <c r="H116" i="5" s="1"/>
  <c r="I148" i="5"/>
  <c r="AL93" i="5"/>
  <c r="H238" i="5"/>
  <c r="F180" i="5"/>
  <c r="F236" i="5"/>
  <c r="AL100" i="5"/>
  <c r="I158" i="5"/>
  <c r="J139" i="5"/>
  <c r="F143" i="5"/>
  <c r="W8" i="5"/>
  <c r="AL104" i="5"/>
  <c r="AL108" i="5"/>
  <c r="AL103" i="5"/>
  <c r="AL92" i="5"/>
  <c r="I224" i="5"/>
  <c r="AL115" i="5"/>
  <c r="AL101" i="5"/>
  <c r="AL107" i="5"/>
  <c r="AL98" i="5"/>
  <c r="J224" i="5"/>
  <c r="AU24" i="5"/>
  <c r="AU38" i="5"/>
  <c r="AS24" i="6"/>
  <c r="AO27" i="6"/>
  <c r="AB59" i="5"/>
  <c r="J159" i="5"/>
  <c r="AA68" i="5"/>
  <c r="AD56" i="6"/>
  <c r="AD27" i="6"/>
  <c r="AF25" i="6"/>
  <c r="X114" i="5"/>
  <c r="X105" i="5"/>
  <c r="X103" i="5"/>
  <c r="J78" i="5"/>
  <c r="AF59" i="5"/>
  <c r="AD39" i="6"/>
  <c r="AK26" i="6"/>
  <c r="F144" i="5"/>
  <c r="X104" i="5"/>
  <c r="X92" i="5"/>
  <c r="H237" i="5"/>
  <c r="K144" i="5"/>
  <c r="L160" i="5"/>
  <c r="H227" i="5"/>
  <c r="G144" i="5"/>
  <c r="G209" i="5"/>
  <c r="G142" i="5"/>
  <c r="AO56" i="6"/>
  <c r="AO39" i="6"/>
  <c r="AO33" i="6"/>
  <c r="AO50" i="6"/>
  <c r="AO24" i="6"/>
  <c r="AO21" i="6"/>
  <c r="AO36" i="6"/>
  <c r="AJ21" i="6"/>
  <c r="AO19" i="6"/>
  <c r="AO60" i="6"/>
  <c r="AF52" i="6"/>
  <c r="AD18" i="6"/>
  <c r="AD23" i="6"/>
  <c r="AF37" i="6"/>
  <c r="AD21" i="6"/>
  <c r="AD50" i="6"/>
  <c r="AP37" i="6"/>
  <c r="AF43" i="5"/>
  <c r="G78" i="5"/>
  <c r="AP52" i="6"/>
  <c r="AP33" i="6"/>
  <c r="AD33" i="6"/>
  <c r="AL14" i="6"/>
  <c r="AR21" i="6"/>
  <c r="AA78" i="5"/>
  <c r="AF42" i="5"/>
  <c r="AD46" i="6"/>
  <c r="AK50" i="6"/>
  <c r="AD19" i="6"/>
  <c r="AD37" i="6"/>
  <c r="AD14" i="6"/>
  <c r="AF19" i="6"/>
  <c r="AF27" i="6"/>
  <c r="AG47" i="6"/>
  <c r="AG33" i="6"/>
  <c r="AG27" i="6"/>
  <c r="AG21" i="6"/>
  <c r="AG56" i="6"/>
  <c r="AG26" i="6"/>
  <c r="AG52" i="6"/>
  <c r="AG54" i="6"/>
  <c r="AG39" i="6"/>
  <c r="AG62" i="6"/>
  <c r="AG50" i="6"/>
  <c r="C78" i="5"/>
  <c r="AF78" i="5" s="1"/>
  <c r="AU59" i="5"/>
  <c r="AI24" i="6"/>
  <c r="AI15" i="6"/>
  <c r="AL37" i="6"/>
  <c r="AD54" i="6"/>
  <c r="AD36" i="6"/>
  <c r="AI33" i="6"/>
  <c r="AL15" i="6"/>
  <c r="AS33" i="6"/>
  <c r="AR54" i="6"/>
  <c r="AF14" i="6"/>
  <c r="AF42" i="6"/>
  <c r="X107" i="5"/>
  <c r="X102" i="5"/>
  <c r="X97" i="5"/>
  <c r="AE59" i="5"/>
  <c r="AG59" i="5"/>
  <c r="AU77" i="5"/>
  <c r="AG77" i="5"/>
  <c r="X49" i="5"/>
  <c r="AC24" i="5"/>
  <c r="AE54" i="6"/>
  <c r="AU70" i="5"/>
  <c r="AD52" i="6"/>
  <c r="AD26" i="6"/>
  <c r="AD47" i="6"/>
  <c r="AL36" i="6"/>
  <c r="AD60" i="6"/>
  <c r="AD42" i="6"/>
  <c r="AS52" i="6"/>
  <c r="AF56" i="6"/>
  <c r="AR23" i="6"/>
  <c r="AF15" i="6"/>
  <c r="AF62" i="6"/>
  <c r="AK105" i="5"/>
  <c r="AG42" i="5"/>
  <c r="F160" i="5"/>
  <c r="AK56" i="6"/>
  <c r="AK27" i="6"/>
  <c r="AK52" i="6"/>
  <c r="AR56" i="6"/>
  <c r="AR27" i="6"/>
  <c r="AR47" i="6"/>
  <c r="B159" i="5"/>
  <c r="AU105" i="5"/>
  <c r="AE68" i="5"/>
  <c r="AE77" i="5"/>
  <c r="W70" i="5"/>
  <c r="H160" i="5"/>
  <c r="W43" i="5"/>
  <c r="B161" i="5"/>
  <c r="AK21" i="6"/>
  <c r="AK33" i="6"/>
  <c r="AR24" i="6"/>
  <c r="AR14" i="6"/>
  <c r="AR33" i="6"/>
  <c r="AR52" i="6"/>
  <c r="AR39" i="6"/>
  <c r="C161" i="5"/>
  <c r="R237" i="5"/>
  <c r="W77" i="5"/>
  <c r="Y68" i="5"/>
  <c r="AK19" i="6"/>
  <c r="AR19" i="6"/>
  <c r="AR15" i="6"/>
  <c r="AR36" i="6"/>
  <c r="G160" i="5"/>
  <c r="W68" i="5"/>
  <c r="AU42" i="5"/>
  <c r="Y70" i="5"/>
  <c r="I159" i="5"/>
  <c r="K142" i="5"/>
  <c r="AE70" i="5"/>
  <c r="B142" i="5"/>
  <c r="AH62" i="6"/>
  <c r="AH33" i="6"/>
  <c r="AH60" i="6"/>
  <c r="AJ46" i="6"/>
  <c r="AJ27" i="6"/>
  <c r="AJ52" i="6"/>
  <c r="AJ15" i="6"/>
  <c r="AJ50" i="6"/>
  <c r="AJ23" i="6"/>
  <c r="AM33" i="6"/>
  <c r="AM56" i="6"/>
  <c r="AM36" i="6"/>
  <c r="AM15" i="6"/>
  <c r="AM46" i="6"/>
  <c r="AM27" i="6"/>
  <c r="AM52" i="6"/>
  <c r="AM19" i="6"/>
  <c r="AM42" i="6"/>
  <c r="AM23" i="6"/>
  <c r="AM37" i="6"/>
  <c r="AM26" i="6"/>
  <c r="AM39" i="6"/>
  <c r="AM24" i="6"/>
  <c r="AM14" i="6"/>
  <c r="AM47" i="6"/>
  <c r="AM21" i="6"/>
  <c r="AI14" i="6"/>
  <c r="AI26" i="6"/>
  <c r="AI18" i="6"/>
  <c r="AI60" i="6"/>
  <c r="AI39" i="6"/>
  <c r="AI52" i="6"/>
  <c r="AI62" i="6"/>
  <c r="AI23" i="6"/>
  <c r="AI50" i="6"/>
  <c r="AE37" i="6"/>
  <c r="AE47" i="6"/>
  <c r="AE15" i="6"/>
  <c r="AE19" i="6"/>
  <c r="AE56" i="6"/>
  <c r="AI77" i="5"/>
  <c r="AI63" i="5"/>
  <c r="I249" i="5"/>
  <c r="AG25" i="6"/>
  <c r="AG19" i="6"/>
  <c r="AG36" i="6"/>
  <c r="AG46" i="6"/>
  <c r="I105" i="5"/>
  <c r="I113" i="5" s="1"/>
  <c r="B160" i="5"/>
  <c r="R238" i="5"/>
  <c r="I137" i="5"/>
  <c r="AU43" i="5"/>
  <c r="K113" i="5"/>
  <c r="AN113" i="5" s="1"/>
  <c r="K238" i="5"/>
  <c r="AN105" i="5"/>
  <c r="K237" i="5"/>
  <c r="K44" i="5"/>
  <c r="L150" i="5" s="1"/>
  <c r="K43" i="5"/>
  <c r="AG60" i="6"/>
  <c r="AG18" i="6"/>
  <c r="AG42" i="6"/>
  <c r="AN21" i="6"/>
  <c r="AN33" i="6"/>
  <c r="AN39" i="6"/>
  <c r="AU68" i="5"/>
  <c r="I44" i="5"/>
  <c r="F209" i="5"/>
  <c r="G44" i="5"/>
  <c r="G227" i="5"/>
  <c r="AH14" i="6"/>
  <c r="AJ56" i="6"/>
  <c r="AN12" i="6"/>
  <c r="AJ26" i="6"/>
  <c r="AJ24" i="6"/>
  <c r="AJ36" i="6"/>
  <c r="AF21" i="6"/>
  <c r="AF23" i="6"/>
  <c r="AF33" i="6"/>
  <c r="AF46" i="6"/>
  <c r="AF50" i="6"/>
  <c r="AJ60" i="6"/>
  <c r="AJ39" i="6"/>
  <c r="AA77" i="5"/>
  <c r="AI70" i="5"/>
  <c r="AI59" i="5"/>
  <c r="D161" i="5"/>
  <c r="AG34" i="5"/>
  <c r="X108" i="5"/>
  <c r="X115" i="5"/>
  <c r="X94" i="5"/>
  <c r="X110" i="5"/>
  <c r="X99" i="5"/>
  <c r="X111" i="5"/>
  <c r="X109" i="5"/>
  <c r="AH18" i="6"/>
  <c r="AH37" i="6"/>
  <c r="AF18" i="6"/>
  <c r="AF26" i="6"/>
  <c r="AN14" i="6"/>
  <c r="AJ14" i="6"/>
  <c r="AJ25" i="6"/>
  <c r="AF54" i="6"/>
  <c r="AF24" i="6"/>
  <c r="AF36" i="6"/>
  <c r="AF47" i="6"/>
  <c r="AF60" i="6"/>
  <c r="E161" i="5"/>
  <c r="E160" i="5"/>
  <c r="F161" i="5"/>
  <c r="B184" i="5"/>
  <c r="I78" i="5"/>
  <c r="E144" i="5"/>
  <c r="AI68" i="5"/>
  <c r="AF70" i="5"/>
  <c r="AH42" i="5"/>
  <c r="AF30" i="5"/>
  <c r="AE43" i="5"/>
  <c r="W24" i="5"/>
  <c r="J105" i="5"/>
  <c r="X93" i="5"/>
  <c r="W78" i="5"/>
  <c r="AH59" i="5"/>
  <c r="AA70" i="5"/>
  <c r="AB7" i="6"/>
  <c r="AU133" i="5"/>
  <c r="R191" i="5" s="1"/>
  <c r="R264" i="5" s="1"/>
  <c r="AH21" i="6"/>
  <c r="AH39" i="6"/>
  <c r="AH50" i="6"/>
  <c r="AH36" i="6"/>
  <c r="AH24" i="6"/>
  <c r="AH15" i="6"/>
  <c r="AN19" i="6"/>
  <c r="AN15" i="6"/>
  <c r="AN36" i="6"/>
  <c r="AH25" i="6"/>
  <c r="AH54" i="6"/>
  <c r="AH23" i="6"/>
  <c r="AN24" i="6"/>
  <c r="AN23" i="6"/>
  <c r="AN52" i="6"/>
  <c r="AH19" i="6"/>
  <c r="AH42" i="6"/>
  <c r="AH56" i="6"/>
  <c r="AH47" i="6"/>
  <c r="AH27" i="6"/>
  <c r="AN56" i="6"/>
  <c r="AN26" i="6"/>
  <c r="AU26" i="6" s="1"/>
  <c r="AN58" i="6"/>
  <c r="AN37" i="6"/>
  <c r="AN30" i="6"/>
  <c r="AN27" i="6"/>
  <c r="AS15" i="6"/>
  <c r="AS50" i="6"/>
  <c r="AS23" i="6"/>
  <c r="AS14" i="6"/>
  <c r="AQ36" i="6"/>
  <c r="AQ24" i="6"/>
  <c r="AQ27" i="6"/>
  <c r="G235" i="5"/>
  <c r="F238" i="5"/>
  <c r="F237" i="5"/>
  <c r="F235" i="5"/>
  <c r="AI105" i="5"/>
  <c r="F113" i="5"/>
  <c r="U76" i="5"/>
  <c r="U75" i="5"/>
  <c r="U67" i="5"/>
  <c r="U53" i="5"/>
  <c r="U52" i="5"/>
  <c r="U51" i="5"/>
  <c r="U58" i="5"/>
  <c r="U62" i="5"/>
  <c r="U47" i="5"/>
  <c r="U23" i="5"/>
  <c r="U13" i="5"/>
  <c r="U72" i="5"/>
  <c r="U61" i="5"/>
  <c r="U41" i="5"/>
  <c r="U40" i="5"/>
  <c r="U32" i="5"/>
  <c r="U30" i="5"/>
  <c r="U28" i="5"/>
  <c r="U27" i="5"/>
  <c r="U44" i="5"/>
  <c r="U37" i="5"/>
  <c r="U29" i="5"/>
  <c r="U18" i="5"/>
  <c r="U42" i="5"/>
  <c r="U11" i="5"/>
  <c r="AE39" i="6"/>
  <c r="AL26" i="6"/>
  <c r="AQ21" i="6"/>
  <c r="AS19" i="6"/>
  <c r="AQ39" i="6"/>
  <c r="AE52" i="6"/>
  <c r="AE60" i="6"/>
  <c r="AP39" i="6"/>
  <c r="AE23" i="6"/>
  <c r="AQ15" i="6"/>
  <c r="AQ14" i="6"/>
  <c r="AP42" i="6"/>
  <c r="AU42" i="6" s="1"/>
  <c r="AP36" i="6"/>
  <c r="AL47" i="6"/>
  <c r="AS21" i="6"/>
  <c r="AS36" i="6"/>
  <c r="AQ56" i="6"/>
  <c r="T221" i="5"/>
  <c r="AB105" i="5"/>
  <c r="B237" i="5"/>
  <c r="B235" i="5"/>
  <c r="AE105" i="5"/>
  <c r="B113" i="5"/>
  <c r="F78" i="5"/>
  <c r="AU113" i="5"/>
  <c r="R116" i="5"/>
  <c r="E78" i="5"/>
  <c r="H78" i="5"/>
  <c r="AI58" i="5"/>
  <c r="AI62" i="5"/>
  <c r="AI61" i="5"/>
  <c r="AI76" i="5"/>
  <c r="AI75" i="5"/>
  <c r="AI67" i="5"/>
  <c r="AI53" i="5"/>
  <c r="AI52" i="5"/>
  <c r="AI51" i="5"/>
  <c r="AI50" i="5"/>
  <c r="AI42" i="5"/>
  <c r="AI37" i="5"/>
  <c r="AI18" i="5"/>
  <c r="AI14" i="5"/>
  <c r="AI11" i="5"/>
  <c r="AI47" i="5"/>
  <c r="AI44" i="5"/>
  <c r="AI41" i="5"/>
  <c r="AI23" i="5"/>
  <c r="AI15" i="5"/>
  <c r="AI40" i="5"/>
  <c r="AI32" i="5"/>
  <c r="AI28" i="5"/>
  <c r="AI27" i="5"/>
  <c r="AI16" i="5"/>
  <c r="AI30" i="5"/>
  <c r="AI13" i="5"/>
  <c r="AI22" i="5"/>
  <c r="AA58" i="5"/>
  <c r="AA62" i="5"/>
  <c r="AA61" i="5"/>
  <c r="AA76" i="5"/>
  <c r="AA75" i="5"/>
  <c r="AA67" i="5"/>
  <c r="AA53" i="5"/>
  <c r="AA52" i="5"/>
  <c r="AA51" i="5"/>
  <c r="AA37" i="5"/>
  <c r="AA18" i="5"/>
  <c r="AA11" i="5"/>
  <c r="AA47" i="5"/>
  <c r="AA41" i="5"/>
  <c r="AA40" i="5"/>
  <c r="AA23" i="5"/>
  <c r="AA44" i="5"/>
  <c r="AA32" i="5"/>
  <c r="AA28" i="5"/>
  <c r="AA27" i="5"/>
  <c r="AA30" i="5"/>
  <c r="AA13" i="5"/>
  <c r="D237" i="5"/>
  <c r="D235" i="5"/>
  <c r="AG105" i="5"/>
  <c r="D113" i="5"/>
  <c r="AC105" i="5"/>
  <c r="Y105" i="5"/>
  <c r="U77" i="5"/>
  <c r="U59" i="5"/>
  <c r="AG68" i="5"/>
  <c r="AI34" i="5"/>
  <c r="AA34" i="5"/>
  <c r="I43" i="5"/>
  <c r="AI24" i="5"/>
  <c r="AG43" i="5"/>
  <c r="W89" i="5"/>
  <c r="AB75" i="5"/>
  <c r="AE36" i="6"/>
  <c r="AE18" i="6"/>
  <c r="AQ50" i="6"/>
  <c r="AE26" i="6"/>
  <c r="AL39" i="6"/>
  <c r="AQ23" i="6"/>
  <c r="AP21" i="6"/>
  <c r="AL24" i="6"/>
  <c r="AL27" i="6"/>
  <c r="AS54" i="6"/>
  <c r="Z105" i="5"/>
  <c r="AG37" i="6"/>
  <c r="AG23" i="6"/>
  <c r="AG24" i="6"/>
  <c r="AG14" i="6"/>
  <c r="AG15" i="6"/>
  <c r="B79" i="5"/>
  <c r="AE78" i="5"/>
  <c r="F142" i="5"/>
  <c r="U205" i="5"/>
  <c r="C209" i="5"/>
  <c r="AH70" i="5"/>
  <c r="U70" i="5"/>
  <c r="U78" i="5"/>
  <c r="E8" i="6"/>
  <c r="AG8" i="6" s="1"/>
  <c r="AG70" i="5"/>
  <c r="D78" i="5"/>
  <c r="U105" i="5"/>
  <c r="R78" i="5"/>
  <c r="H142" i="5"/>
  <c r="AH49" i="5"/>
  <c r="AH47" i="5"/>
  <c r="AH44" i="5"/>
  <c r="AH62" i="5"/>
  <c r="AH61" i="5"/>
  <c r="AH76" i="5"/>
  <c r="AH75" i="5"/>
  <c r="AH51" i="5"/>
  <c r="AH41" i="5"/>
  <c r="AH40" i="5"/>
  <c r="AH32" i="5"/>
  <c r="AH28" i="5"/>
  <c r="AH27" i="5"/>
  <c r="AH22" i="5"/>
  <c r="AH16" i="5"/>
  <c r="AH13" i="5"/>
  <c r="AH58" i="5"/>
  <c r="AH52" i="5"/>
  <c r="AH77" i="5"/>
  <c r="AH67" i="5"/>
  <c r="AH37" i="5"/>
  <c r="AH18" i="5"/>
  <c r="AH14" i="5"/>
  <c r="AH68" i="5"/>
  <c r="AH53" i="5"/>
  <c r="AH11" i="5"/>
  <c r="AH24" i="5"/>
  <c r="AH15" i="5"/>
  <c r="AH23" i="5"/>
  <c r="U68" i="5"/>
  <c r="AG76" i="5"/>
  <c r="AG75" i="5"/>
  <c r="AG67" i="5"/>
  <c r="AG53" i="5"/>
  <c r="AG52" i="5"/>
  <c r="AG51" i="5"/>
  <c r="AG58" i="5"/>
  <c r="AG49" i="5"/>
  <c r="AG44" i="5"/>
  <c r="AG23" i="5"/>
  <c r="AG15" i="5"/>
  <c r="AG16" i="5"/>
  <c r="AG62" i="5"/>
  <c r="AG41" i="5"/>
  <c r="AG40" i="5"/>
  <c r="AG32" i="5"/>
  <c r="AG30" i="5"/>
  <c r="AG28" i="5"/>
  <c r="AG27" i="5"/>
  <c r="AG22" i="5"/>
  <c r="AG13" i="5"/>
  <c r="AG61" i="5"/>
  <c r="AG47" i="5"/>
  <c r="AG37" i="5"/>
  <c r="AG18" i="5"/>
  <c r="AG14" i="5"/>
  <c r="AG11" i="5"/>
  <c r="AI43" i="5"/>
  <c r="AA43" i="5"/>
  <c r="U34" i="5"/>
  <c r="E238" i="5"/>
  <c r="E235" i="5"/>
  <c r="E237" i="5"/>
  <c r="E113" i="5"/>
  <c r="AW105" i="5"/>
  <c r="AX105" i="5" s="1"/>
  <c r="AH105" i="5"/>
  <c r="C237" i="5"/>
  <c r="C235" i="5"/>
  <c r="AF105" i="5"/>
  <c r="C113" i="5"/>
  <c r="AE24" i="6"/>
  <c r="AE62" i="6"/>
  <c r="AE21" i="6"/>
  <c r="AE42" i="6"/>
  <c r="AE33" i="6"/>
  <c r="AE27" i="6"/>
  <c r="AP23" i="6"/>
  <c r="AP19" i="6"/>
  <c r="AP47" i="6"/>
  <c r="AL52" i="6"/>
  <c r="AL19" i="6"/>
  <c r="AP56" i="6"/>
  <c r="AL56" i="6"/>
  <c r="AQ33" i="6"/>
  <c r="AQ47" i="6"/>
  <c r="AQ54" i="6"/>
  <c r="AE46" i="6"/>
  <c r="AE50" i="6"/>
  <c r="AS39" i="6"/>
  <c r="AP24" i="6"/>
  <c r="AP27" i="6"/>
  <c r="AL50" i="6"/>
  <c r="AL33" i="6"/>
  <c r="AE25" i="6"/>
  <c r="AQ19" i="6"/>
  <c r="AP15" i="6"/>
  <c r="AP14" i="6"/>
  <c r="AS27" i="6"/>
  <c r="AS47" i="6"/>
  <c r="AU10" i="6"/>
  <c r="V105" i="5"/>
  <c r="AO14" i="6"/>
  <c r="AO15" i="6"/>
  <c r="AO23" i="6"/>
  <c r="AK39" i="6"/>
  <c r="AK23" i="6"/>
  <c r="AK24" i="6"/>
  <c r="AK14" i="6"/>
  <c r="AK15" i="6"/>
  <c r="AK18" i="6"/>
  <c r="H235" i="5"/>
  <c r="G238" i="5"/>
  <c r="G237" i="5"/>
  <c r="R235" i="5"/>
  <c r="AJ105" i="5"/>
  <c r="G113" i="5"/>
  <c r="AI27" i="6"/>
  <c r="AI21" i="6"/>
  <c r="AI25" i="6"/>
  <c r="AI36" i="6"/>
  <c r="AW164" i="5"/>
  <c r="BD177" i="5" s="1"/>
  <c r="F227" i="5"/>
  <c r="B178" i="5"/>
  <c r="W113" i="5"/>
  <c r="AE58" i="5"/>
  <c r="AE62" i="5"/>
  <c r="AE61" i="5"/>
  <c r="AE76" i="5"/>
  <c r="AE75" i="5"/>
  <c r="AE67" i="5"/>
  <c r="AE53" i="5"/>
  <c r="AE52" i="5"/>
  <c r="AE51" i="5"/>
  <c r="AE37" i="5"/>
  <c r="AE18" i="5"/>
  <c r="AE47" i="5"/>
  <c r="AE49" i="5"/>
  <c r="AE44" i="5"/>
  <c r="AE11" i="5"/>
  <c r="AE23" i="5"/>
  <c r="AE42" i="5"/>
  <c r="AE41" i="5"/>
  <c r="AE40" i="5"/>
  <c r="AE22" i="5"/>
  <c r="AE28" i="5"/>
  <c r="AE27" i="5"/>
  <c r="AE32" i="5"/>
  <c r="AE30" i="5"/>
  <c r="AE13" i="5"/>
  <c r="W58" i="5"/>
  <c r="W72" i="5"/>
  <c r="W62" i="5"/>
  <c r="W61" i="5"/>
  <c r="W76" i="5"/>
  <c r="W75" i="5"/>
  <c r="W67" i="5"/>
  <c r="W53" i="5"/>
  <c r="W52" i="5"/>
  <c r="W51" i="5"/>
  <c r="W49" i="5"/>
  <c r="W37" i="5"/>
  <c r="W29" i="5"/>
  <c r="W18" i="5"/>
  <c r="W11" i="5"/>
  <c r="W44" i="5"/>
  <c r="W42" i="5"/>
  <c r="W23" i="5"/>
  <c r="W47" i="5"/>
  <c r="W41" i="5"/>
  <c r="W40" i="5"/>
  <c r="W32" i="5"/>
  <c r="W30" i="5"/>
  <c r="W13" i="5"/>
  <c r="W28" i="5"/>
  <c r="W27" i="5"/>
  <c r="AH26" i="6"/>
  <c r="AH46" i="6"/>
  <c r="AH52" i="6"/>
  <c r="AD24" i="6"/>
  <c r="AD25" i="6"/>
  <c r="Z78" i="5"/>
  <c r="AF62" i="5"/>
  <c r="AF61" i="5"/>
  <c r="AF77" i="5"/>
  <c r="AF76" i="5"/>
  <c r="AF75" i="5"/>
  <c r="AF68" i="5"/>
  <c r="AF67" i="5"/>
  <c r="AF49" i="5"/>
  <c r="AF47" i="5"/>
  <c r="AF44" i="5"/>
  <c r="AF58" i="5"/>
  <c r="AF52" i="5"/>
  <c r="AF11" i="5"/>
  <c r="AF53" i="5"/>
  <c r="AF51" i="5"/>
  <c r="AF24" i="5"/>
  <c r="AF23" i="5"/>
  <c r="AF15" i="5"/>
  <c r="AF41" i="5"/>
  <c r="AF40" i="5"/>
  <c r="AF32" i="5"/>
  <c r="AF28" i="5"/>
  <c r="AF27" i="5"/>
  <c r="AF22" i="5"/>
  <c r="AF16" i="5"/>
  <c r="AF13" i="5"/>
  <c r="AF37" i="5"/>
  <c r="AF14" i="5"/>
  <c r="AF18" i="5"/>
  <c r="AU62" i="5"/>
  <c r="AU61" i="5"/>
  <c r="AU55" i="5"/>
  <c r="AU76" i="5"/>
  <c r="AU75" i="5"/>
  <c r="AU65" i="5"/>
  <c r="AU63" i="5"/>
  <c r="AU47" i="5"/>
  <c r="AU44" i="5"/>
  <c r="AU58" i="5"/>
  <c r="AU52" i="5"/>
  <c r="AU23" i="5"/>
  <c r="AU51" i="5"/>
  <c r="AU34" i="5"/>
  <c r="AU50" i="5"/>
  <c r="AU41" i="5"/>
  <c r="AU40" i="5"/>
  <c r="AU32" i="5"/>
  <c r="AU28" i="5"/>
  <c r="AU27" i="5"/>
  <c r="AU22" i="5"/>
  <c r="AU16" i="5"/>
  <c r="AU13" i="5"/>
  <c r="AU53" i="5"/>
  <c r="AU18" i="5"/>
  <c r="U24" i="5"/>
  <c r="AU30" i="5"/>
  <c r="AE34" i="5"/>
  <c r="W34" i="5"/>
  <c r="I160" i="5"/>
  <c r="E43" i="5"/>
  <c r="AH34" i="5"/>
  <c r="AA24" i="5"/>
  <c r="AA42" i="5"/>
  <c r="U43" i="5"/>
  <c r="K78" i="5"/>
  <c r="R151" i="5" l="1"/>
  <c r="R150" i="5"/>
  <c r="R149" i="5"/>
  <c r="AK18" i="5"/>
  <c r="AK47" i="5"/>
  <c r="AK50" i="5"/>
  <c r="AK58" i="5"/>
  <c r="AK27" i="5"/>
  <c r="AK28" i="5"/>
  <c r="AK51" i="5"/>
  <c r="AK40" i="5"/>
  <c r="AK63" i="5"/>
  <c r="AK13" i="5"/>
  <c r="AK76" i="5"/>
  <c r="AK16" i="5"/>
  <c r="X8" i="5"/>
  <c r="Y8" i="5" s="1"/>
  <c r="AK42" i="5"/>
  <c r="AK17" i="5"/>
  <c r="AK22" i="5"/>
  <c r="AK11" i="5"/>
  <c r="AK30" i="5"/>
  <c r="AK15" i="5"/>
  <c r="AK52" i="5"/>
  <c r="AK34" i="5"/>
  <c r="AK14" i="5"/>
  <c r="AK32" i="5"/>
  <c r="AK23" i="5"/>
  <c r="AK53" i="5"/>
  <c r="AK43" i="5"/>
  <c r="AK70" i="5"/>
  <c r="AK59" i="5"/>
  <c r="AK68" i="5"/>
  <c r="AK24" i="5"/>
  <c r="AK37" i="5"/>
  <c r="AK41" i="5"/>
  <c r="AK55" i="5"/>
  <c r="AK67" i="5"/>
  <c r="AK77" i="5"/>
  <c r="AK44" i="5"/>
  <c r="AK61" i="5"/>
  <c r="AK62" i="5"/>
  <c r="K160" i="5"/>
  <c r="X47" i="5"/>
  <c r="AD105" i="5"/>
  <c r="H168" i="5"/>
  <c r="X37" i="5"/>
  <c r="X28" i="5"/>
  <c r="X61" i="5"/>
  <c r="AU37" i="6"/>
  <c r="AB24" i="5"/>
  <c r="I237" i="5"/>
  <c r="AB47" i="5"/>
  <c r="AL105" i="5"/>
  <c r="AB62" i="5"/>
  <c r="K235" i="5"/>
  <c r="J44" i="5"/>
  <c r="AM78" i="5" s="1"/>
  <c r="J43" i="5"/>
  <c r="J144" i="5"/>
  <c r="AB28" i="5"/>
  <c r="AB18" i="5"/>
  <c r="AB34" i="5"/>
  <c r="AB52" i="5"/>
  <c r="H171" i="5"/>
  <c r="H150" i="5"/>
  <c r="H151" i="5"/>
  <c r="R172" i="5"/>
  <c r="R171" i="5"/>
  <c r="H145" i="5"/>
  <c r="U209" i="5"/>
  <c r="AK113" i="5"/>
  <c r="H119" i="5"/>
  <c r="I227" i="5"/>
  <c r="I235" i="5"/>
  <c r="AB12" i="6"/>
  <c r="AB30" i="6" s="1"/>
  <c r="AB42" i="5"/>
  <c r="AB51" i="5"/>
  <c r="AB58" i="5"/>
  <c r="AB53" i="5"/>
  <c r="AB76" i="5"/>
  <c r="AB70" i="5"/>
  <c r="AB78" i="5"/>
  <c r="AB30" i="5"/>
  <c r="AB13" i="5"/>
  <c r="AB40" i="5"/>
  <c r="AB37" i="5"/>
  <c r="AB11" i="5"/>
  <c r="AB67" i="5"/>
  <c r="AB77" i="5"/>
  <c r="AB32" i="5"/>
  <c r="AB49" i="5"/>
  <c r="AB43" i="5"/>
  <c r="AB27" i="5"/>
  <c r="AB41" i="5"/>
  <c r="AB23" i="5"/>
  <c r="AB44" i="5"/>
  <c r="AB68" i="5"/>
  <c r="AB61" i="5"/>
  <c r="AU33" i="6"/>
  <c r="AU50" i="6"/>
  <c r="X11" i="5"/>
  <c r="AL59" i="5"/>
  <c r="AD32" i="5"/>
  <c r="AL15" i="5"/>
  <c r="AD34" i="5"/>
  <c r="AL42" i="5"/>
  <c r="AL77" i="5"/>
  <c r="I79" i="5"/>
  <c r="AL13" i="5"/>
  <c r="X40" i="5"/>
  <c r="X67" i="5"/>
  <c r="AL75" i="5"/>
  <c r="AC42" i="5"/>
  <c r="AL40" i="5"/>
  <c r="AL34" i="5"/>
  <c r="X29" i="5"/>
  <c r="X23" i="5"/>
  <c r="X77" i="5"/>
  <c r="AC13" i="5"/>
  <c r="X30" i="5"/>
  <c r="AC62" i="5"/>
  <c r="AC53" i="5"/>
  <c r="Y61" i="5"/>
  <c r="X13" i="5"/>
  <c r="X41" i="5"/>
  <c r="X52" i="5"/>
  <c r="X75" i="5"/>
  <c r="X62" i="5"/>
  <c r="AC61" i="5"/>
  <c r="Y11" i="5"/>
  <c r="X34" i="5"/>
  <c r="AC28" i="5"/>
  <c r="AC75" i="5"/>
  <c r="X43" i="5"/>
  <c r="X42" i="5"/>
  <c r="X18" i="5"/>
  <c r="X27" i="5"/>
  <c r="X24" i="5"/>
  <c r="X44" i="5"/>
  <c r="X76" i="5"/>
  <c r="X72" i="5"/>
  <c r="Y37" i="5"/>
  <c r="Y53" i="5"/>
  <c r="AJ43" i="5"/>
  <c r="AC18" i="5"/>
  <c r="AC30" i="5"/>
  <c r="AC58" i="5"/>
  <c r="Y27" i="5"/>
  <c r="V59" i="5"/>
  <c r="AD68" i="5"/>
  <c r="V27" i="5"/>
  <c r="AC44" i="5"/>
  <c r="AC41" i="5"/>
  <c r="AC51" i="5"/>
  <c r="X70" i="5"/>
  <c r="Y40" i="5"/>
  <c r="X59" i="5"/>
  <c r="X53" i="5"/>
  <c r="X32" i="5"/>
  <c r="X51" i="5"/>
  <c r="X58" i="5"/>
  <c r="X68" i="5"/>
  <c r="AC70" i="5"/>
  <c r="Y78" i="5"/>
  <c r="AN34" i="5"/>
  <c r="L161" i="5"/>
  <c r="AC68" i="5"/>
  <c r="C79" i="5"/>
  <c r="AD77" i="5"/>
  <c r="V41" i="5"/>
  <c r="Y34" i="5"/>
  <c r="Y49" i="5"/>
  <c r="Y41" i="5"/>
  <c r="Y43" i="5"/>
  <c r="AD61" i="5"/>
  <c r="V23" i="5"/>
  <c r="Y47" i="5"/>
  <c r="Y28" i="5"/>
  <c r="Y58" i="5"/>
  <c r="Y67" i="5"/>
  <c r="V42" i="5"/>
  <c r="K168" i="5"/>
  <c r="AL70" i="5"/>
  <c r="AD75" i="5"/>
  <c r="AD49" i="5"/>
  <c r="V51" i="5"/>
  <c r="V49" i="5"/>
  <c r="AC11" i="5"/>
  <c r="AC49" i="5"/>
  <c r="AC32" i="5"/>
  <c r="AC47" i="5"/>
  <c r="AC67" i="5"/>
  <c r="AL65" i="5"/>
  <c r="AL47" i="5"/>
  <c r="Y18" i="5"/>
  <c r="Y62" i="5"/>
  <c r="Y30" i="5"/>
  <c r="Y23" i="5"/>
  <c r="Y51" i="5"/>
  <c r="Y75" i="5"/>
  <c r="Y59" i="5"/>
  <c r="G161" i="5"/>
  <c r="AD20" i="5"/>
  <c r="V58" i="5"/>
  <c r="V44" i="5"/>
  <c r="Y42" i="5"/>
  <c r="Y29" i="5"/>
  <c r="Y13" i="5"/>
  <c r="Y32" i="5"/>
  <c r="Y44" i="5"/>
  <c r="Y52" i="5"/>
  <c r="Y76" i="5"/>
  <c r="AU11" i="5"/>
  <c r="V75" i="5"/>
  <c r="V68" i="5"/>
  <c r="V53" i="5"/>
  <c r="V61" i="5"/>
  <c r="AL11" i="5"/>
  <c r="AL37" i="5"/>
  <c r="AL68" i="5"/>
  <c r="AL22" i="5"/>
  <c r="AL41" i="5"/>
  <c r="AL55" i="5"/>
  <c r="AU52" i="6"/>
  <c r="AC34" i="5"/>
  <c r="AC59" i="5"/>
  <c r="V29" i="5"/>
  <c r="V28" i="5"/>
  <c r="V47" i="5"/>
  <c r="K116" i="5"/>
  <c r="AN123" i="5" s="1"/>
  <c r="V76" i="5"/>
  <c r="V37" i="5"/>
  <c r="V18" i="5"/>
  <c r="V32" i="5"/>
  <c r="V67" i="5"/>
  <c r="V62" i="5"/>
  <c r="AL78" i="5"/>
  <c r="V43" i="5"/>
  <c r="AL30" i="5"/>
  <c r="I161" i="5"/>
  <c r="AL24" i="5"/>
  <c r="AL38" i="5"/>
  <c r="AL52" i="5"/>
  <c r="AL76" i="5"/>
  <c r="AL27" i="5"/>
  <c r="AL48" i="5"/>
  <c r="AL62" i="5"/>
  <c r="K145" i="5"/>
  <c r="V30" i="5"/>
  <c r="V70" i="5"/>
  <c r="V24" i="5"/>
  <c r="V11" i="5"/>
  <c r="V52" i="5"/>
  <c r="V13" i="5"/>
  <c r="V40" i="5"/>
  <c r="V77" i="5"/>
  <c r="V72" i="5"/>
  <c r="V34" i="5"/>
  <c r="AC37" i="5"/>
  <c r="AC27" i="5"/>
  <c r="AC40" i="5"/>
  <c r="AC23" i="5"/>
  <c r="AC52" i="5"/>
  <c r="AC76" i="5"/>
  <c r="AL23" i="5"/>
  <c r="AL51" i="5"/>
  <c r="AL63" i="5"/>
  <c r="AL18" i="5"/>
  <c r="AL28" i="5"/>
  <c r="AL67" i="5"/>
  <c r="AL44" i="5"/>
  <c r="AL43" i="5"/>
  <c r="AC43" i="5"/>
  <c r="V78" i="5"/>
  <c r="AN43" i="5"/>
  <c r="AC77" i="5"/>
  <c r="X78" i="5"/>
  <c r="AD11" i="5"/>
  <c r="AD37" i="5"/>
  <c r="AD76" i="5"/>
  <c r="AD22" i="5"/>
  <c r="AD40" i="5"/>
  <c r="AD62" i="5"/>
  <c r="AD43" i="5"/>
  <c r="AD42" i="5"/>
  <c r="AD78" i="5"/>
  <c r="AD59" i="5"/>
  <c r="AD23" i="5"/>
  <c r="AD51" i="5"/>
  <c r="AD52" i="5"/>
  <c r="AD18" i="5"/>
  <c r="AD27" i="5"/>
  <c r="AD41" i="5"/>
  <c r="AD44" i="5"/>
  <c r="AA113" i="5"/>
  <c r="AU36" i="6"/>
  <c r="AD70" i="5"/>
  <c r="AD30" i="5"/>
  <c r="AD24" i="5"/>
  <c r="AD67" i="5"/>
  <c r="AD58" i="5"/>
  <c r="AD13" i="5"/>
  <c r="AD28" i="5"/>
  <c r="AD53" i="5"/>
  <c r="AD47" i="5"/>
  <c r="Y24" i="5"/>
  <c r="Y77" i="5"/>
  <c r="K79" i="5"/>
  <c r="AN78" i="5"/>
  <c r="J235" i="5"/>
  <c r="AJ18" i="5"/>
  <c r="AJ14" i="5"/>
  <c r="AJ61" i="5"/>
  <c r="AJ75" i="5"/>
  <c r="AJ54" i="5"/>
  <c r="AJ11" i="5"/>
  <c r="AJ23" i="5"/>
  <c r="AJ52" i="5"/>
  <c r="AJ28" i="5"/>
  <c r="AJ13" i="5"/>
  <c r="AJ77" i="5"/>
  <c r="AJ44" i="5"/>
  <c r="AJ37" i="5"/>
  <c r="AJ22" i="5"/>
  <c r="AJ30" i="5"/>
  <c r="AJ62" i="5"/>
  <c r="AJ55" i="5"/>
  <c r="AJ68" i="5"/>
  <c r="AJ47" i="5"/>
  <c r="AJ51" i="5"/>
  <c r="AJ15" i="5"/>
  <c r="AJ41" i="5"/>
  <c r="AJ27" i="5"/>
  <c r="AJ67" i="5"/>
  <c r="AJ53" i="5"/>
  <c r="AJ40" i="5"/>
  <c r="AJ59" i="5"/>
  <c r="AJ76" i="5"/>
  <c r="AJ50" i="5"/>
  <c r="AJ16" i="5"/>
  <c r="AJ70" i="5"/>
  <c r="AJ58" i="5"/>
  <c r="AJ42" i="5"/>
  <c r="AJ63" i="5"/>
  <c r="AJ32" i="5"/>
  <c r="AJ34" i="5"/>
  <c r="AJ24" i="5"/>
  <c r="G79" i="5"/>
  <c r="AN64" i="5"/>
  <c r="AN52" i="5"/>
  <c r="AN44" i="5"/>
  <c r="AN40" i="5"/>
  <c r="AN23" i="5"/>
  <c r="AN15" i="5"/>
  <c r="AN67" i="5"/>
  <c r="AN55" i="5"/>
  <c r="AN27" i="5"/>
  <c r="AN18" i="5"/>
  <c r="AN63" i="5"/>
  <c r="AN58" i="5"/>
  <c r="AN51" i="5"/>
  <c r="AN38" i="5"/>
  <c r="AN28" i="5"/>
  <c r="AN22" i="5"/>
  <c r="AN13" i="5"/>
  <c r="AN76" i="5"/>
  <c r="AN62" i="5"/>
  <c r="AN50" i="5"/>
  <c r="AN11" i="5"/>
  <c r="AN75" i="5"/>
  <c r="AN47" i="5"/>
  <c r="AN16" i="5"/>
  <c r="AN41" i="5"/>
  <c r="AN61" i="5"/>
  <c r="AN65" i="5"/>
  <c r="AN32" i="5"/>
  <c r="AN53" i="5"/>
  <c r="AN24" i="5"/>
  <c r="AN30" i="5"/>
  <c r="AN59" i="5"/>
  <c r="AN42" i="5"/>
  <c r="AN77" i="5"/>
  <c r="AN68" i="5"/>
  <c r="AN70" i="5"/>
  <c r="AU24" i="6"/>
  <c r="I238" i="5"/>
  <c r="AL64" i="5"/>
  <c r="AL50" i="5"/>
  <c r="AL58" i="5"/>
  <c r="AL49" i="5"/>
  <c r="AL16" i="5"/>
  <c r="AL32" i="5"/>
  <c r="AL53" i="5"/>
  <c r="AL61" i="5"/>
  <c r="AJ78" i="5"/>
  <c r="H161" i="5"/>
  <c r="AU39" i="6"/>
  <c r="Z34" i="5"/>
  <c r="J113" i="5"/>
  <c r="J238" i="5"/>
  <c r="J237" i="5"/>
  <c r="AM105" i="5"/>
  <c r="AU27" i="6"/>
  <c r="AU15" i="6"/>
  <c r="AC78" i="5"/>
  <c r="AU47" i="6"/>
  <c r="AU23" i="6"/>
  <c r="AU56" i="6"/>
  <c r="AU19" i="6"/>
  <c r="AU14" i="6"/>
  <c r="AU21" i="6"/>
  <c r="BC177" i="5"/>
  <c r="BB177" i="5"/>
  <c r="BA177" i="5" s="1"/>
  <c r="AZ177" i="5" s="1"/>
  <c r="AY177" i="5" s="1"/>
  <c r="AX177" i="5" s="1"/>
  <c r="AF169" i="5" s="1"/>
  <c r="AE169" i="5" s="1"/>
  <c r="AD169" i="5" s="1"/>
  <c r="AC169" i="5" s="1"/>
  <c r="AB169" i="5" s="1"/>
  <c r="AA169" i="5" s="1"/>
  <c r="Z169" i="5" s="1"/>
  <c r="V113" i="5"/>
  <c r="Y113" i="5"/>
  <c r="D145" i="5"/>
  <c r="D116" i="5"/>
  <c r="D168" i="5"/>
  <c r="AG113" i="5"/>
  <c r="B145" i="5"/>
  <c r="B168" i="5"/>
  <c r="AE113" i="5"/>
  <c r="B116" i="5"/>
  <c r="AB113" i="5"/>
  <c r="Z47" i="5"/>
  <c r="Z44" i="5"/>
  <c r="Z62" i="5"/>
  <c r="Z61" i="5"/>
  <c r="Z68" i="5"/>
  <c r="Z51" i="5"/>
  <c r="Z41" i="5"/>
  <c r="Z40" i="5"/>
  <c r="Z32" i="5"/>
  <c r="Z28" i="5"/>
  <c r="Z27" i="5"/>
  <c r="Z13" i="5"/>
  <c r="Z37" i="5"/>
  <c r="Z18" i="5"/>
  <c r="Z67" i="5"/>
  <c r="Z76" i="5"/>
  <c r="Z75" i="5"/>
  <c r="Z53" i="5"/>
  <c r="Z11" i="5"/>
  <c r="Z77" i="5"/>
  <c r="Z58" i="5"/>
  <c r="Z52" i="5"/>
  <c r="Z23" i="5"/>
  <c r="Z24" i="5"/>
  <c r="Z59" i="5"/>
  <c r="Z70" i="5"/>
  <c r="Z30" i="5"/>
  <c r="Z42" i="5"/>
  <c r="D12" i="6"/>
  <c r="W123" i="5"/>
  <c r="W122" i="5"/>
  <c r="W116" i="5"/>
  <c r="U113" i="5"/>
  <c r="X89" i="5"/>
  <c r="AK78" i="5"/>
  <c r="H79" i="5"/>
  <c r="AH78" i="5"/>
  <c r="E79" i="5"/>
  <c r="G168" i="5"/>
  <c r="AJ113" i="5"/>
  <c r="G145" i="5"/>
  <c r="G116" i="5"/>
  <c r="R228" i="5" s="1"/>
  <c r="AG78" i="5"/>
  <c r="D79" i="5"/>
  <c r="AC113" i="5"/>
  <c r="R254" i="5"/>
  <c r="R256" i="5" s="1"/>
  <c r="R259" i="5" s="1"/>
  <c r="R261" i="5" s="1"/>
  <c r="R232" i="5"/>
  <c r="R184" i="5"/>
  <c r="AU116" i="5"/>
  <c r="R124" i="5"/>
  <c r="R119" i="5"/>
  <c r="AU123" i="5"/>
  <c r="F79" i="5"/>
  <c r="AI78" i="5"/>
  <c r="I168" i="5"/>
  <c r="I116" i="5"/>
  <c r="AL123" i="5" s="1"/>
  <c r="I145" i="5"/>
  <c r="AL113" i="5"/>
  <c r="C168" i="5"/>
  <c r="C145" i="5"/>
  <c r="AF113" i="5"/>
  <c r="C116" i="5"/>
  <c r="E168" i="5"/>
  <c r="E116" i="5"/>
  <c r="AH113" i="5"/>
  <c r="E145" i="5"/>
  <c r="F8" i="6"/>
  <c r="AH8" i="6" s="1"/>
  <c r="AH43" i="5"/>
  <c r="H254" i="5"/>
  <c r="H256" i="5" s="1"/>
  <c r="H259" i="5" s="1"/>
  <c r="H261" i="5" s="1"/>
  <c r="H232" i="5"/>
  <c r="H172" i="5"/>
  <c r="H184" i="5"/>
  <c r="R12" i="6"/>
  <c r="R30" i="6" s="1"/>
  <c r="H149" i="5"/>
  <c r="H152" i="5"/>
  <c r="H124" i="5"/>
  <c r="AK123" i="5"/>
  <c r="AK116" i="5"/>
  <c r="AU78" i="5"/>
  <c r="R79" i="5"/>
  <c r="X113" i="5"/>
  <c r="Z113" i="5"/>
  <c r="Z43" i="5"/>
  <c r="F145" i="5"/>
  <c r="F168" i="5"/>
  <c r="AI113" i="5"/>
  <c r="F116" i="5"/>
  <c r="Q170" i="5" l="1"/>
  <c r="S170" i="5" s="1"/>
  <c r="Q248" i="5"/>
  <c r="Q251" i="5" s="1"/>
  <c r="J79" i="5"/>
  <c r="K161" i="5"/>
  <c r="J161" i="5"/>
  <c r="R170" i="5"/>
  <c r="AM43" i="5"/>
  <c r="AM64" i="5"/>
  <c r="AM18" i="5"/>
  <c r="AM32" i="5"/>
  <c r="AM27" i="5"/>
  <c r="AM34" i="5"/>
  <c r="AM44" i="5"/>
  <c r="AM77" i="5"/>
  <c r="AM58" i="5"/>
  <c r="AM63" i="5"/>
  <c r="AM55" i="5"/>
  <c r="AM23" i="5"/>
  <c r="AM22" i="5"/>
  <c r="AM68" i="5"/>
  <c r="AM62" i="5"/>
  <c r="AM53" i="5"/>
  <c r="AM15" i="5"/>
  <c r="AM75" i="5"/>
  <c r="AM59" i="5"/>
  <c r="AM24" i="5"/>
  <c r="AM61" i="5"/>
  <c r="AM52" i="5"/>
  <c r="AM42" i="5"/>
  <c r="AM41" i="5"/>
  <c r="AM11" i="5"/>
  <c r="AM76" i="5"/>
  <c r="AM51" i="5"/>
  <c r="AM38" i="5"/>
  <c r="AM30" i="5"/>
  <c r="AM50" i="5"/>
  <c r="AM16" i="5"/>
  <c r="AM67" i="5"/>
  <c r="AM49" i="5"/>
  <c r="AM47" i="5"/>
  <c r="AM13" i="5"/>
  <c r="AM70" i="5"/>
  <c r="AM65" i="5"/>
  <c r="AM48" i="5"/>
  <c r="AM40" i="5"/>
  <c r="AM28" i="5"/>
  <c r="AN116" i="5"/>
  <c r="K151" i="5"/>
  <c r="K171" i="5"/>
  <c r="K150" i="5"/>
  <c r="I171" i="5"/>
  <c r="I150" i="5"/>
  <c r="I151" i="5"/>
  <c r="AD113" i="5"/>
  <c r="U12" i="6"/>
  <c r="U30" i="6" s="1"/>
  <c r="K248" i="5" s="1"/>
  <c r="K251" i="5" s="1"/>
  <c r="H228" i="5"/>
  <c r="K152" i="5"/>
  <c r="L228" i="5"/>
  <c r="K232" i="5"/>
  <c r="K172" i="5"/>
  <c r="K124" i="5"/>
  <c r="K149" i="5"/>
  <c r="K184" i="5"/>
  <c r="K119" i="5"/>
  <c r="K154" i="5" s="1"/>
  <c r="K254" i="5"/>
  <c r="K256" i="5" s="1"/>
  <c r="K259" i="5" s="1"/>
  <c r="K261" i="5" s="1"/>
  <c r="AA123" i="5"/>
  <c r="H12" i="6"/>
  <c r="H30" i="6" s="1"/>
  <c r="AA116" i="5"/>
  <c r="AM113" i="5"/>
  <c r="J116" i="5"/>
  <c r="J145" i="5"/>
  <c r="J168" i="5"/>
  <c r="I12" i="6"/>
  <c r="AB116" i="5"/>
  <c r="AB123" i="5"/>
  <c r="B151" i="5"/>
  <c r="B228" i="5"/>
  <c r="B254" i="5"/>
  <c r="B256" i="5" s="1"/>
  <c r="B259" i="5" s="1"/>
  <c r="B261" i="5" s="1"/>
  <c r="B232" i="5"/>
  <c r="B172" i="5"/>
  <c r="B150" i="5"/>
  <c r="B149" i="5"/>
  <c r="AE123" i="5"/>
  <c r="AE116" i="5"/>
  <c r="Z8" i="5"/>
  <c r="C12" i="6"/>
  <c r="V122" i="5"/>
  <c r="V116" i="5"/>
  <c r="V123" i="5"/>
  <c r="R58" i="6"/>
  <c r="H170" i="5"/>
  <c r="M12" i="6"/>
  <c r="C254" i="5"/>
  <c r="C256" i="5" s="1"/>
  <c r="C259" i="5" s="1"/>
  <c r="C261" i="5" s="1"/>
  <c r="C232" i="5"/>
  <c r="C228" i="5"/>
  <c r="C184" i="5"/>
  <c r="C172" i="5"/>
  <c r="C152" i="5"/>
  <c r="C151" i="5"/>
  <c r="AF116" i="5"/>
  <c r="C150" i="5"/>
  <c r="C149" i="5"/>
  <c r="C124" i="5"/>
  <c r="AF123" i="5"/>
  <c r="AB58" i="6"/>
  <c r="R248" i="5"/>
  <c r="R251" i="5" s="1"/>
  <c r="Q12" i="6"/>
  <c r="G254" i="5"/>
  <c r="G256" i="5" s="1"/>
  <c r="G259" i="5" s="1"/>
  <c r="G261" i="5" s="1"/>
  <c r="G232" i="5"/>
  <c r="G228" i="5"/>
  <c r="G171" i="5"/>
  <c r="G184" i="5"/>
  <c r="G152" i="5"/>
  <c r="G151" i="5"/>
  <c r="AJ116" i="5"/>
  <c r="G124" i="5"/>
  <c r="G172" i="5"/>
  <c r="G150" i="5"/>
  <c r="G149" i="5"/>
  <c r="AJ123" i="5"/>
  <c r="F12" i="6"/>
  <c r="Y122" i="5"/>
  <c r="Y116" i="5"/>
  <c r="Y123" i="5"/>
  <c r="D30" i="6"/>
  <c r="AF12" i="6"/>
  <c r="K12" i="6"/>
  <c r="AD123" i="5"/>
  <c r="AD116" i="5"/>
  <c r="D254" i="5"/>
  <c r="D256" i="5" s="1"/>
  <c r="D259" i="5" s="1"/>
  <c r="D261" i="5" s="1"/>
  <c r="D232" i="5"/>
  <c r="D228" i="5"/>
  <c r="N12" i="6"/>
  <c r="D172" i="5"/>
  <c r="D184" i="5"/>
  <c r="D149" i="5"/>
  <c r="D152" i="5"/>
  <c r="D151" i="5"/>
  <c r="D150" i="5"/>
  <c r="D124" i="5"/>
  <c r="AG123" i="5"/>
  <c r="AG116" i="5"/>
  <c r="F228" i="5"/>
  <c r="P12" i="6"/>
  <c r="F254" i="5"/>
  <c r="F256" i="5" s="1"/>
  <c r="F259" i="5" s="1"/>
  <c r="F261" i="5" s="1"/>
  <c r="F232" i="5"/>
  <c r="F172" i="5"/>
  <c r="F184" i="5"/>
  <c r="F171" i="5"/>
  <c r="F150" i="5"/>
  <c r="F149" i="5"/>
  <c r="F152" i="5"/>
  <c r="AI123" i="5"/>
  <c r="F151" i="5"/>
  <c r="AI116" i="5"/>
  <c r="F124" i="5"/>
  <c r="G12" i="6"/>
  <c r="Z116" i="5"/>
  <c r="Z123" i="5"/>
  <c r="G8" i="6"/>
  <c r="AI8" i="6" s="1"/>
  <c r="J12" i="6"/>
  <c r="AC123" i="5"/>
  <c r="AC116" i="5"/>
  <c r="Y89" i="5"/>
  <c r="E12" i="6"/>
  <c r="X122" i="5"/>
  <c r="X116" i="5"/>
  <c r="X123" i="5"/>
  <c r="E228" i="5"/>
  <c r="O12" i="6"/>
  <c r="E254" i="5"/>
  <c r="E256" i="5" s="1"/>
  <c r="E259" i="5" s="1"/>
  <c r="E261" i="5" s="1"/>
  <c r="E184" i="5"/>
  <c r="E171" i="5"/>
  <c r="E172" i="5"/>
  <c r="E152" i="5"/>
  <c r="E151" i="5"/>
  <c r="E232" i="5"/>
  <c r="E150" i="5"/>
  <c r="E149" i="5"/>
  <c r="AH123" i="5"/>
  <c r="AW116" i="5"/>
  <c r="AX116" i="5" s="1"/>
  <c r="AH116" i="5"/>
  <c r="E124" i="5"/>
  <c r="I228" i="5"/>
  <c r="S12" i="6"/>
  <c r="S30" i="6" s="1"/>
  <c r="I184" i="5"/>
  <c r="I232" i="5"/>
  <c r="I152" i="5"/>
  <c r="I254" i="5"/>
  <c r="I256" i="5" s="1"/>
  <c r="I259" i="5" s="1"/>
  <c r="I261" i="5" s="1"/>
  <c r="I172" i="5"/>
  <c r="I119" i="5"/>
  <c r="I149" i="5"/>
  <c r="AL116" i="5"/>
  <c r="I124" i="5"/>
  <c r="B12" i="6"/>
  <c r="U122" i="5"/>
  <c r="U116" i="5"/>
  <c r="U123" i="5"/>
  <c r="AM123" i="5" l="1"/>
  <c r="U58" i="6"/>
  <c r="I154" i="5"/>
  <c r="J171" i="5"/>
  <c r="J151" i="5"/>
  <c r="J150" i="5"/>
  <c r="K170" i="5"/>
  <c r="AJ12" i="6"/>
  <c r="J152" i="5"/>
  <c r="K228" i="5"/>
  <c r="J232" i="5"/>
  <c r="J149" i="5"/>
  <c r="J124" i="5"/>
  <c r="J228" i="5"/>
  <c r="J172" i="5"/>
  <c r="J184" i="5"/>
  <c r="J119" i="5"/>
  <c r="T12" i="6"/>
  <c r="T30" i="6" s="1"/>
  <c r="J254" i="5"/>
  <c r="J256" i="5" s="1"/>
  <c r="J259" i="5" s="1"/>
  <c r="J261" i="5" s="1"/>
  <c r="AM116" i="5"/>
  <c r="B30" i="6"/>
  <c r="AD12" i="6"/>
  <c r="H58" i="6"/>
  <c r="AJ30" i="6"/>
  <c r="G30" i="6"/>
  <c r="AI12" i="6"/>
  <c r="Z134" i="5"/>
  <c r="AA8" i="5"/>
  <c r="AG12" i="6"/>
  <c r="E30" i="6"/>
  <c r="J30" i="6"/>
  <c r="AL12" i="6"/>
  <c r="P30" i="6"/>
  <c r="AR12" i="6"/>
  <c r="N30" i="6"/>
  <c r="AP12" i="6"/>
  <c r="D58" i="6"/>
  <c r="AF58" i="6" s="1"/>
  <c r="AF30" i="6"/>
  <c r="AS12" i="6"/>
  <c r="Q30" i="6"/>
  <c r="Z89" i="5"/>
  <c r="H8" i="6"/>
  <c r="AJ8" i="6" s="1"/>
  <c r="O30" i="6"/>
  <c r="AQ12" i="6"/>
  <c r="AO12" i="6"/>
  <c r="M30" i="6"/>
  <c r="S58" i="6"/>
  <c r="I248" i="5"/>
  <c r="I251" i="5" s="1"/>
  <c r="I170" i="5"/>
  <c r="AM12" i="6"/>
  <c r="K30" i="6"/>
  <c r="F30" i="6"/>
  <c r="AH12" i="6"/>
  <c r="AE12" i="6"/>
  <c r="C30" i="6"/>
  <c r="I30" i="6"/>
  <c r="AK12" i="6"/>
  <c r="J248" i="5" l="1"/>
  <c r="J251" i="5" s="1"/>
  <c r="T58" i="6"/>
  <c r="J170" i="5"/>
  <c r="J154" i="5"/>
  <c r="Q58" i="6"/>
  <c r="AS58" i="6" s="1"/>
  <c r="AS30" i="6"/>
  <c r="H248" i="5"/>
  <c r="H251" i="5" s="1"/>
  <c r="G170" i="5"/>
  <c r="E248" i="5"/>
  <c r="E251" i="5" s="1"/>
  <c r="D170" i="5"/>
  <c r="N58" i="6"/>
  <c r="AP30" i="6"/>
  <c r="AG30" i="6"/>
  <c r="E58" i="6"/>
  <c r="AG58" i="6" s="1"/>
  <c r="AU12" i="6"/>
  <c r="G58" i="6"/>
  <c r="AI58" i="6" s="1"/>
  <c r="AI30" i="6"/>
  <c r="H62" i="6"/>
  <c r="AJ58" i="6"/>
  <c r="AM30" i="6"/>
  <c r="K58" i="6"/>
  <c r="AM58" i="6" s="1"/>
  <c r="AA89" i="5"/>
  <c r="P58" i="6"/>
  <c r="AR58" i="6" s="1"/>
  <c r="AR30" i="6"/>
  <c r="F170" i="5"/>
  <c r="G248" i="5"/>
  <c r="G251" i="5" s="1"/>
  <c r="AB8" i="5"/>
  <c r="AA134" i="5"/>
  <c r="AE30" i="6"/>
  <c r="C58" i="6"/>
  <c r="AE58" i="6" s="1"/>
  <c r="M58" i="6"/>
  <c r="AO30" i="6"/>
  <c r="C170" i="5"/>
  <c r="AK30" i="6"/>
  <c r="I58" i="6"/>
  <c r="AH30" i="6"/>
  <c r="F58" i="6"/>
  <c r="AH58" i="6" s="1"/>
  <c r="O58" i="6"/>
  <c r="AQ58" i="6" s="1"/>
  <c r="F248" i="5"/>
  <c r="F251" i="5" s="1"/>
  <c r="E170" i="5"/>
  <c r="AQ30" i="6"/>
  <c r="I8" i="6"/>
  <c r="AK8" i="6" s="1"/>
  <c r="J58" i="6"/>
  <c r="AL30" i="6"/>
  <c r="B58" i="6"/>
  <c r="AD30" i="6"/>
  <c r="AK58" i="6" l="1"/>
  <c r="AB134" i="5"/>
  <c r="AC8" i="5"/>
  <c r="I60" i="6"/>
  <c r="AK60" i="6" s="1"/>
  <c r="AJ62" i="6"/>
  <c r="AP58" i="6"/>
  <c r="J8" i="6"/>
  <c r="AL8" i="6" s="1"/>
  <c r="AU30" i="6"/>
  <c r="AB89" i="5"/>
  <c r="B62" i="6"/>
  <c r="AD62" i="6" s="1"/>
  <c r="AD58" i="6"/>
  <c r="AL58" i="6"/>
  <c r="AO58" i="6"/>
  <c r="M62" i="6"/>
  <c r="I62" i="6" l="1"/>
  <c r="AK62" i="6" s="1"/>
  <c r="AU58" i="6"/>
  <c r="AO62" i="6"/>
  <c r="N60" i="6"/>
  <c r="K8" i="6"/>
  <c r="AM8" i="6" s="1"/>
  <c r="AC134" i="5"/>
  <c r="AC197" i="5" s="1"/>
  <c r="AD8" i="5"/>
  <c r="AC89" i="5"/>
  <c r="AD89" i="5"/>
  <c r="AD134" i="5" l="1"/>
  <c r="J60" i="6"/>
  <c r="AL60" i="6" s="1"/>
  <c r="AP60" i="6"/>
  <c r="N62" i="6"/>
  <c r="L8" i="6"/>
  <c r="AN8" i="6" s="1"/>
  <c r="B192" i="5"/>
  <c r="B265" i="5" s="1"/>
  <c r="B89" i="5"/>
  <c r="C8" i="5"/>
  <c r="AE8" i="5"/>
  <c r="J62" i="6" l="1"/>
  <c r="AL62" i="6" s="1"/>
  <c r="M8" i="6"/>
  <c r="AO8" i="6" s="1"/>
  <c r="C192" i="5"/>
  <c r="C265" i="5" s="1"/>
  <c r="C134" i="5"/>
  <c r="AF134" i="5" s="1"/>
  <c r="C89" i="5"/>
  <c r="AF8" i="5"/>
  <c r="AF89" i="5" s="1"/>
  <c r="D8" i="5"/>
  <c r="AE89" i="5"/>
  <c r="B134" i="5"/>
  <c r="AE134" i="5" s="1"/>
  <c r="AP62" i="6"/>
  <c r="O60" i="6"/>
  <c r="K60" i="6" l="1"/>
  <c r="AM60" i="6" s="1"/>
  <c r="O62" i="6"/>
  <c r="AQ60" i="6"/>
  <c r="N8" i="6"/>
  <c r="AP8" i="6" s="1"/>
  <c r="D192" i="5"/>
  <c r="D265" i="5" s="1"/>
  <c r="D134" i="5"/>
  <c r="AG134" i="5" s="1"/>
  <c r="D89" i="5"/>
  <c r="AG8" i="5"/>
  <c r="AG89" i="5" s="1"/>
  <c r="E8" i="5"/>
  <c r="K62" i="6" l="1"/>
  <c r="AM62" i="6" s="1"/>
  <c r="E192" i="5"/>
  <c r="E265" i="5" s="1"/>
  <c r="O8" i="6"/>
  <c r="AQ8" i="6" s="1"/>
  <c r="E134" i="5"/>
  <c r="AH134" i="5" s="1"/>
  <c r="E89" i="5"/>
  <c r="F8" i="5"/>
  <c r="AH8" i="5"/>
  <c r="AH89" i="5" s="1"/>
  <c r="AQ62" i="6"/>
  <c r="P60" i="6"/>
  <c r="L60" i="6" l="1"/>
  <c r="AN60" i="6" s="1"/>
  <c r="P8" i="6"/>
  <c r="AR8" i="6" s="1"/>
  <c r="F192" i="5"/>
  <c r="F265" i="5" s="1"/>
  <c r="F89" i="5"/>
  <c r="F134" i="5"/>
  <c r="AI134" i="5" s="1"/>
  <c r="G8" i="5"/>
  <c r="AI8" i="5"/>
  <c r="AI89" i="5" s="1"/>
  <c r="P62" i="6"/>
  <c r="AR60" i="6"/>
  <c r="L62" i="6" l="1"/>
  <c r="AN62" i="6" s="1"/>
  <c r="AR62" i="6"/>
  <c r="Q60" i="6"/>
  <c r="AU60" i="6"/>
  <c r="Q8" i="6"/>
  <c r="AS8" i="6" s="1"/>
  <c r="G192" i="5"/>
  <c r="G265" i="5" s="1"/>
  <c r="AJ8" i="5"/>
  <c r="AJ89" i="5" s="1"/>
  <c r="G89" i="5"/>
  <c r="G134" i="5" s="1"/>
  <c r="AJ134" i="5" s="1"/>
  <c r="H8" i="5"/>
  <c r="AU62" i="6" l="1"/>
  <c r="AS60" i="6"/>
  <c r="Q62" i="6"/>
  <c r="R8" i="6"/>
  <c r="H192" i="5"/>
  <c r="H265" i="5" s="1"/>
  <c r="H89" i="5"/>
  <c r="H134" i="5" s="1"/>
  <c r="AK134" i="5" s="1"/>
  <c r="AK8" i="5"/>
  <c r="AK89" i="5" s="1"/>
  <c r="I8" i="5"/>
  <c r="R60" i="6" l="1"/>
  <c r="R62" i="6" s="1"/>
  <c r="S60" i="6" s="1"/>
  <c r="AS62" i="6"/>
  <c r="I192" i="5"/>
  <c r="I265" i="5" s="1"/>
  <c r="S8" i="6"/>
  <c r="I89" i="5"/>
  <c r="I134" i="5" s="1"/>
  <c r="AL134" i="5" s="1"/>
  <c r="J8" i="5"/>
  <c r="K8" i="5" s="1"/>
  <c r="AL8" i="5"/>
  <c r="AL89" i="5" s="1"/>
  <c r="L8" i="5" l="1"/>
  <c r="M8" i="5" s="1"/>
  <c r="AN8" i="5"/>
  <c r="AN89" i="5" s="1"/>
  <c r="U8" i="6"/>
  <c r="K192" i="5"/>
  <c r="K265" i="5" s="1"/>
  <c r="K89" i="5"/>
  <c r="K134" i="5" s="1"/>
  <c r="AN134" i="5" s="1"/>
  <c r="T8" i="6"/>
  <c r="J192" i="5"/>
  <c r="J265" i="5" s="1"/>
  <c r="J89" i="5"/>
  <c r="J134" i="5" s="1"/>
  <c r="AM134" i="5" s="1"/>
  <c r="AM8" i="5"/>
  <c r="AM89" i="5" s="1"/>
  <c r="S62" i="6"/>
  <c r="N8" i="5" l="1"/>
  <c r="O8" i="5" s="1"/>
  <c r="W8" i="6"/>
  <c r="AP8" i="5"/>
  <c r="AP89" i="5" s="1"/>
  <c r="M192" i="5"/>
  <c r="M265" i="5" s="1"/>
  <c r="M89" i="5"/>
  <c r="M134" i="5" s="1"/>
  <c r="AP134" i="5" s="1"/>
  <c r="L192" i="5"/>
  <c r="L265" i="5" s="1"/>
  <c r="AO8" i="5"/>
  <c r="AO89" i="5" s="1"/>
  <c r="L89" i="5"/>
  <c r="L134" i="5" s="1"/>
  <c r="AO134" i="5" s="1"/>
  <c r="V8" i="6"/>
  <c r="T60" i="6"/>
  <c r="T62" i="6" s="1"/>
  <c r="P8" i="5" l="1"/>
  <c r="Y8" i="6"/>
  <c r="O89" i="5"/>
  <c r="O134" i="5" s="1"/>
  <c r="AR134" i="5" s="1"/>
  <c r="O192" i="5"/>
  <c r="O265" i="5" s="1"/>
  <c r="AQ8" i="5"/>
  <c r="AQ89" i="5" s="1"/>
  <c r="X8" i="6"/>
  <c r="N192" i="5"/>
  <c r="N265" i="5" s="1"/>
  <c r="N89" i="5"/>
  <c r="N134" i="5" s="1"/>
  <c r="AQ134" i="5" s="1"/>
  <c r="U60" i="6"/>
  <c r="U62" i="6" s="1"/>
  <c r="V60" i="6" s="1"/>
  <c r="V62" i="6" s="1"/>
  <c r="R89" i="5" l="1"/>
  <c r="R134" i="5" s="1"/>
  <c r="AU134" i="5" s="1"/>
  <c r="Q8" i="5"/>
  <c r="Z8" i="6"/>
  <c r="P89" i="5"/>
  <c r="P134" i="5" s="1"/>
  <c r="AS134" i="5" s="1"/>
  <c r="P192" i="5"/>
  <c r="P265" i="5" s="1"/>
  <c r="W60" i="6"/>
  <c r="W62" i="6" s="1"/>
  <c r="AA8" i="6" l="1"/>
  <c r="Q89" i="5"/>
  <c r="Q134" i="5" s="1"/>
  <c r="AT134" i="5" s="1"/>
  <c r="Q192" i="5"/>
  <c r="Q265" i="5" s="1"/>
  <c r="AU8" i="5"/>
  <c r="AU89" i="5" s="1"/>
  <c r="AB8" i="6"/>
  <c r="R192" i="5"/>
  <c r="R265" i="5" s="1"/>
  <c r="X60" i="6"/>
  <c r="X62" i="6" s="1"/>
  <c r="Y60" i="6" s="1"/>
  <c r="Y62" i="6" s="1"/>
  <c r="Z60" i="6" s="1"/>
  <c r="Z62" i="6" s="1"/>
  <c r="AB62" i="6" l="1"/>
  <c r="AA60" i="6"/>
  <c r="AA62" i="6" s="1"/>
</calcChain>
</file>

<file path=xl/sharedStrings.xml><?xml version="1.0" encoding="utf-8"?>
<sst xmlns="http://schemas.openxmlformats.org/spreadsheetml/2006/main" count="392" uniqueCount="287">
  <si>
    <t>Account Name</t>
  </si>
  <si>
    <t>Asset-utilization Ratios:</t>
  </si>
  <si>
    <t>Average</t>
  </si>
  <si>
    <t>Cash &amp; Equivalents</t>
  </si>
  <si>
    <t>Common Stock</t>
  </si>
  <si>
    <t>Current</t>
  </si>
  <si>
    <t>Current Assets:</t>
  </si>
  <si>
    <t>Current Liabilities:</t>
  </si>
  <si>
    <t>Days Revenues Receivable</t>
  </si>
  <si>
    <t>Deferred Income Taxes</t>
  </si>
  <si>
    <t>Earnings Before Taxes</t>
  </si>
  <si>
    <t>Earnings From Operations</t>
  </si>
  <si>
    <t>Historical Income Statements</t>
  </si>
  <si>
    <t>Income Taxes</t>
  </si>
  <si>
    <t>Long-term Solvency Ratios:</t>
  </si>
  <si>
    <t>Net Income</t>
  </si>
  <si>
    <t>Net Worth/Fixed Assets</t>
  </si>
  <si>
    <t>Net Worth/Non Current Debt</t>
  </si>
  <si>
    <t>Net Worth/Total Debt</t>
  </si>
  <si>
    <t>Operating Expenses:</t>
  </si>
  <si>
    <t>Operating Revenues:</t>
  </si>
  <si>
    <t>Operating Sales and Revenues:</t>
  </si>
  <si>
    <t>Other Current Assets</t>
  </si>
  <si>
    <t>Pct. Change</t>
  </si>
  <si>
    <t>Plant &amp; Equipment:</t>
  </si>
  <si>
    <t>Quick</t>
  </si>
  <si>
    <t>Ratio Group And Name</t>
  </si>
  <si>
    <t>Retained Earnings</t>
  </si>
  <si>
    <t>Return On Total Assets</t>
  </si>
  <si>
    <t>Sales/Accounts Receivable</t>
  </si>
  <si>
    <t>Sales/Cash</t>
  </si>
  <si>
    <t>Sales/Fixed Assets</t>
  </si>
  <si>
    <t>Sales/Total Assets</t>
  </si>
  <si>
    <t>Sales/Working Capital</t>
  </si>
  <si>
    <t>Short-term Liquidity Ratios:</t>
  </si>
  <si>
    <t>Times Interest Earned</t>
  </si>
  <si>
    <t>Total Assets</t>
  </si>
  <si>
    <t>Total Current Assets</t>
  </si>
  <si>
    <t>Total Current Liabilities</t>
  </si>
  <si>
    <t>Total Liabilities</t>
  </si>
  <si>
    <t>Total Liabilities &amp; Equity</t>
  </si>
  <si>
    <t>Total Non-Current Assets</t>
  </si>
  <si>
    <t>Total Operating Expenses</t>
  </si>
  <si>
    <t>Wt. Average</t>
  </si>
  <si>
    <t>Common Size</t>
  </si>
  <si>
    <t>Historical Balance Sheets</t>
  </si>
  <si>
    <t>Historical Financial Ratios</t>
  </si>
  <si>
    <t xml:space="preserve">   Depreciation and amortization</t>
  </si>
  <si>
    <t xml:space="preserve">   Taxes, other than income taxes</t>
  </si>
  <si>
    <t xml:space="preserve">   Interest expense (net)</t>
  </si>
  <si>
    <t xml:space="preserve">   Other Income (Expense)</t>
  </si>
  <si>
    <t>Total Other Income/Expense</t>
  </si>
  <si>
    <t>Extraordinary Items</t>
  </si>
  <si>
    <t>Total Revenues</t>
  </si>
  <si>
    <t xml:space="preserve">   Loss (Gain) on Sale of Assets</t>
  </si>
  <si>
    <t>Preferred Stock Dividends</t>
  </si>
  <si>
    <t>Common Stock Dividends</t>
  </si>
  <si>
    <t>Other PP&amp;E</t>
  </si>
  <si>
    <t>Net Plant &amp; Equipment</t>
  </si>
  <si>
    <t>Regulatory Assets</t>
  </si>
  <si>
    <t>Long-Term Debt</t>
  </si>
  <si>
    <t>Other Deferred Credits</t>
  </si>
  <si>
    <t>Total LTD &amp; Deferrals</t>
  </si>
  <si>
    <t>Preferred Stock</t>
  </si>
  <si>
    <t>Total Plant &amp; Equipment:</t>
  </si>
  <si>
    <t xml:space="preserve">Other </t>
  </si>
  <si>
    <t>Common Equity:</t>
  </si>
  <si>
    <t>Total Common Equity</t>
  </si>
  <si>
    <t>Return On Total Capital</t>
  </si>
  <si>
    <t>Profitability Ratios:</t>
  </si>
  <si>
    <t>Other Financial Indicators:</t>
  </si>
  <si>
    <t>Other Assets:</t>
  </si>
  <si>
    <t>Total Other Assets</t>
  </si>
  <si>
    <t>Cash flows from operating activities:</t>
  </si>
  <si>
    <t xml:space="preserve">   Net income</t>
  </si>
  <si>
    <t xml:space="preserve">   Adjustments to reconcile net income</t>
  </si>
  <si>
    <t xml:space="preserve">       Depreciation and amortization</t>
  </si>
  <si>
    <t xml:space="preserve">       Deferred income taxes and investment tax credits - net</t>
  </si>
  <si>
    <t xml:space="preserve">   Changes in: </t>
  </si>
  <si>
    <t>Net cash provided by operating activities</t>
  </si>
  <si>
    <t>Cash flows from investing activities:</t>
  </si>
  <si>
    <t xml:space="preserve">     Capital expenditures</t>
  </si>
  <si>
    <t xml:space="preserve">     Proceeds from sales of assets</t>
  </si>
  <si>
    <t xml:space="preserve">     Other</t>
  </si>
  <si>
    <t>Net cash used in investing activities</t>
  </si>
  <si>
    <t>Cash flows from financing activities:</t>
  </si>
  <si>
    <t xml:space="preserve">     Dividends paid</t>
  </si>
  <si>
    <t>Net cash provided by (used in) financing activities</t>
  </si>
  <si>
    <t>Change in cash and cash equivalents</t>
  </si>
  <si>
    <t>Cash and cash equivalents at beginning of period</t>
  </si>
  <si>
    <t>Cash and cash equivalents at end of period</t>
  </si>
  <si>
    <t>Historical Cash Flow Statements</t>
  </si>
  <si>
    <t>Material and Supplies</t>
  </si>
  <si>
    <t>Goodwill</t>
  </si>
  <si>
    <t>Other Non-Current Assets</t>
  </si>
  <si>
    <t xml:space="preserve">   Cost of Natural Gas Sold</t>
  </si>
  <si>
    <t xml:space="preserve">   Operating and Maintenance</t>
  </si>
  <si>
    <t xml:space="preserve">      Accounts receivable</t>
  </si>
  <si>
    <t xml:space="preserve">       (Gain) Loss on sale of assets</t>
  </si>
  <si>
    <t xml:space="preserve">      Accounts payable and accrued expenses</t>
  </si>
  <si>
    <t xml:space="preserve">      Rate-refund obligation</t>
  </si>
  <si>
    <t xml:space="preserve">      Purchased-gas adjustments</t>
  </si>
  <si>
    <t xml:space="preserve">     Proceeds from long-term debt</t>
  </si>
  <si>
    <t xml:space="preserve">     Long-term debt repaid</t>
  </si>
  <si>
    <t>Accounts Receivable, net</t>
  </si>
  <si>
    <t xml:space="preserve">     Issuance of Common Stock</t>
  </si>
  <si>
    <t>Years Ended December 31</t>
  </si>
  <si>
    <t>A-</t>
  </si>
  <si>
    <t>Cash Flow as a Percent of Revenues</t>
  </si>
  <si>
    <t>Exhibit 1</t>
  </si>
  <si>
    <t xml:space="preserve">   Interest and Other Income</t>
  </si>
  <si>
    <t>Plant in Service</t>
  </si>
  <si>
    <t>Capital Structure (Regulatory):</t>
  </si>
  <si>
    <t>Common Equity</t>
  </si>
  <si>
    <t>Capital Structure:</t>
  </si>
  <si>
    <t>Short-Term Debt</t>
  </si>
  <si>
    <t>Current Portion, LTD</t>
  </si>
  <si>
    <t xml:space="preserve">      Other Assets and Liabilities</t>
  </si>
  <si>
    <t xml:space="preserve">   Miscellaneous</t>
  </si>
  <si>
    <t>Construction Work in Progress</t>
  </si>
  <si>
    <t>Revenues</t>
  </si>
  <si>
    <t>Commodity Pass Through</t>
  </si>
  <si>
    <t xml:space="preserve">       Cumulative Affect of Accounting Chng and Other</t>
  </si>
  <si>
    <t>Accumulated Dep &amp; Amort</t>
  </si>
  <si>
    <t xml:space="preserve">   Cost of Natural Gas Sold - Affiliates</t>
  </si>
  <si>
    <t>Outlook</t>
  </si>
  <si>
    <t>Stable</t>
  </si>
  <si>
    <t>A2</t>
  </si>
  <si>
    <t>A3</t>
  </si>
  <si>
    <t>Bond Rating - Moody's</t>
  </si>
  <si>
    <t>Bond Rating - Standard &amp; Poors</t>
  </si>
  <si>
    <t>BBB+</t>
  </si>
  <si>
    <t>Estimated Interest Rate</t>
  </si>
  <si>
    <t>Retained Cash Flow / Debt &gt; 10.0%</t>
  </si>
  <si>
    <t>Debt / Book Capitalization &lt; 60.0%</t>
  </si>
  <si>
    <t>EBIT / Interest  &gt; 3.0</t>
  </si>
  <si>
    <t>Simple Return on Equity &gt; 10.0%</t>
  </si>
  <si>
    <t>Gross Margin</t>
  </si>
  <si>
    <t>Net Margin</t>
  </si>
  <si>
    <t>Income Tax Receivable</t>
  </si>
  <si>
    <t>Supplemental Information</t>
  </si>
  <si>
    <t xml:space="preserve">   Industrial Sales</t>
  </si>
  <si>
    <t xml:space="preserve">   Service</t>
  </si>
  <si>
    <t xml:space="preserve">   Other</t>
  </si>
  <si>
    <t xml:space="preserve">      Total Revenue</t>
  </si>
  <si>
    <t>Revenue Dollars</t>
  </si>
  <si>
    <t>Revenue Percent</t>
  </si>
  <si>
    <t>Operating Statistics</t>
  </si>
  <si>
    <t xml:space="preserve">   Transportation for Industrial </t>
  </si>
  <si>
    <t xml:space="preserve">      Total Deliveries</t>
  </si>
  <si>
    <t>Natural Gas Volumes (Percent)</t>
  </si>
  <si>
    <t>Customers (Thousands)</t>
  </si>
  <si>
    <t>Colder (Warmer) than normal Temp</t>
  </si>
  <si>
    <t xml:space="preserve">   Percentage Change</t>
  </si>
  <si>
    <t>page 8 of 8</t>
  </si>
  <si>
    <t xml:space="preserve">   General and Administrative</t>
  </si>
  <si>
    <t>Purchased-Gas Adjustment</t>
  </si>
  <si>
    <t>A</t>
  </si>
  <si>
    <t>Gross Margin - Residential</t>
  </si>
  <si>
    <t>Gross Margin - Industrial</t>
  </si>
  <si>
    <t>Annual Revenue Growth</t>
  </si>
  <si>
    <t>Total Revenue Growth</t>
  </si>
  <si>
    <t>Net Income Growth</t>
  </si>
  <si>
    <t xml:space="preserve">    Spread between Segments</t>
  </si>
  <si>
    <t>Gas Stored Underground</t>
  </si>
  <si>
    <t xml:space="preserve">      Inventories</t>
  </si>
  <si>
    <t xml:space="preserve">      Regulatory Assets, Liabilities &amp; Other</t>
  </si>
  <si>
    <t>Dividend Increase</t>
  </si>
  <si>
    <t>Percent Increase</t>
  </si>
  <si>
    <t>Temp Adjusted Usage / Cust (Dth)</t>
  </si>
  <si>
    <t xml:space="preserve">   System Natural Gas Cost (per Dth)</t>
  </si>
  <si>
    <t>Natural Gas Volumes (MMDth)</t>
  </si>
  <si>
    <t>Natural Gas Revenue (per Dth)</t>
  </si>
  <si>
    <t>Accounts Payable</t>
  </si>
  <si>
    <t>Accounts Payable, Affiliates</t>
  </si>
  <si>
    <t>Customer-Credit Balances</t>
  </si>
  <si>
    <t xml:space="preserve">STANDARD &amp; POOR CREDIT RATING </t>
  </si>
  <si>
    <t>FFO / Total Debt</t>
  </si>
  <si>
    <t>Total Debt / Total Capital</t>
  </si>
  <si>
    <t>Debt to EBITDA</t>
  </si>
  <si>
    <t>FFO less Dividend / Capital Spending</t>
  </si>
  <si>
    <t>Gas Purchases</t>
  </si>
  <si>
    <t>Operator Service Fee</t>
  </si>
  <si>
    <t>Transportation and Storage</t>
  </si>
  <si>
    <t>Gathering</t>
  </si>
  <si>
    <t>Royalties</t>
  </si>
  <si>
    <t>Storage (Injection) Withdrawal, Net</t>
  </si>
  <si>
    <t xml:space="preserve">Purchased Gas Account Adjustment </t>
  </si>
  <si>
    <t>Elimination of Gas From Affiliated Parties</t>
  </si>
  <si>
    <t>Total Cost of Sales</t>
  </si>
  <si>
    <t>MOODY'S FINANCIAL RATIOS</t>
  </si>
  <si>
    <t>Debt / EBITDA</t>
  </si>
  <si>
    <t>Annual Volume Growth</t>
  </si>
  <si>
    <t>From 10-K and 10-Q (Note 1-F)</t>
  </si>
  <si>
    <t>Questar Pipeline Cost of Sales</t>
  </si>
  <si>
    <t>Noncurrent Regulatory Liabilities</t>
  </si>
  <si>
    <t>Return On Equity (Regulatory)</t>
  </si>
  <si>
    <t xml:space="preserve">Return On Equity (SEC) </t>
  </si>
  <si>
    <t>Dividend Payout Ratio</t>
  </si>
  <si>
    <t>Notes Receivable from Questar</t>
  </si>
  <si>
    <t>My Calculation</t>
  </si>
  <si>
    <t xml:space="preserve">5 year </t>
  </si>
  <si>
    <t>Short Term Debt</t>
  </si>
  <si>
    <t>Other Cost of Sales</t>
  </si>
  <si>
    <t>Dividends Payable to Questar</t>
  </si>
  <si>
    <t>Current Regulatory Liabilities</t>
  </si>
  <si>
    <t>Accrued Expenses</t>
  </si>
  <si>
    <t xml:space="preserve">Annual </t>
  </si>
  <si>
    <t>% Increase</t>
  </si>
  <si>
    <t>Purchased Gas - DOLLARS</t>
  </si>
  <si>
    <t>Wexpro Gas - DOLLARS</t>
  </si>
  <si>
    <t xml:space="preserve">5 Year </t>
  </si>
  <si>
    <t xml:space="preserve">5 Year Avg </t>
  </si>
  <si>
    <t>Annual</t>
  </si>
  <si>
    <t xml:space="preserve">   TOTAL COST OF GAS SOLD</t>
  </si>
  <si>
    <t>Cost of Gas Sold Comparison</t>
  </si>
  <si>
    <t>Wexpro Cost as % of Total</t>
  </si>
  <si>
    <t>Cost of Service Price / Bcf</t>
  </si>
  <si>
    <t>Purchase Gas Cost / Bcf</t>
  </si>
  <si>
    <t>Total Cost of Gas Sold / Bcf</t>
  </si>
  <si>
    <t>Operator Service Fee / Bcf</t>
  </si>
  <si>
    <t>Cost-of-service production (Bcf)</t>
  </si>
  <si>
    <t>Purchased Gas (Bcf)</t>
  </si>
  <si>
    <t xml:space="preserve">   Total Residential &amp; Industrial Sales</t>
  </si>
  <si>
    <t>Cost of Service Gas Production (Item 2 Production - Page 21)</t>
  </si>
  <si>
    <t xml:space="preserve">      Total Sales</t>
  </si>
  <si>
    <t>Federal Tax Receivable</t>
  </si>
  <si>
    <t xml:space="preserve">       Share-based compensation</t>
  </si>
  <si>
    <t xml:space="preserve">     Questar Gas Acquisition</t>
  </si>
  <si>
    <t>Wexpro Volume as % of Total</t>
  </si>
  <si>
    <t xml:space="preserve">   Gas From Unaffilated Parties</t>
  </si>
  <si>
    <t>DON’T INCLUDE</t>
  </si>
  <si>
    <t>DON'T INCLUDE</t>
  </si>
  <si>
    <t>Accounts Receivable from Affiliates</t>
  </si>
  <si>
    <t xml:space="preserve">     Change in Operating Assets and Liabilities</t>
  </si>
  <si>
    <t>(Dollars in Millions)</t>
  </si>
  <si>
    <t xml:space="preserve">     Checks outstanding in excess of cash balances</t>
  </si>
  <si>
    <t>Receivable from Affiliates</t>
  </si>
  <si>
    <t>Asset Retirement Obligations</t>
  </si>
  <si>
    <t xml:space="preserve">     Property Plant &amp; Equipment purchased from Affiliates</t>
  </si>
  <si>
    <t xml:space="preserve">     Change in note payable to Dominion Questar</t>
  </si>
  <si>
    <t>Fitch Ratings</t>
  </si>
  <si>
    <t>5 Yr Avg</t>
  </si>
  <si>
    <t>Merger and Restructuring Cost</t>
  </si>
  <si>
    <t>Revised Net Income</t>
  </si>
  <si>
    <t xml:space="preserve">Return On Equity (SEC Excluding Merger Cost) </t>
  </si>
  <si>
    <t xml:space="preserve">    Sales Volume Growth</t>
  </si>
  <si>
    <t xml:space="preserve">     Change in Short Term Debt</t>
  </si>
  <si>
    <t xml:space="preserve">     Equity Contribution from Dominion Questar</t>
  </si>
  <si>
    <t>Pension and Post Retirement Benefit</t>
  </si>
  <si>
    <t>Moody's FFO / Total Debt</t>
  </si>
  <si>
    <t>Cash from Operations</t>
  </si>
  <si>
    <t>Less Working Capital</t>
  </si>
  <si>
    <t>MOODY'S FFO/TOTAL DEBT</t>
  </si>
  <si>
    <t>Total Debt</t>
  </si>
  <si>
    <t xml:space="preserve">S&amp;P </t>
  </si>
  <si>
    <t>EBIT</t>
  </si>
  <si>
    <t>DD&amp;A</t>
  </si>
  <si>
    <t>EBITDA</t>
  </si>
  <si>
    <t>Less Curent Taxes</t>
  </si>
  <si>
    <t>Less Interest</t>
  </si>
  <si>
    <t>Funds from Operation</t>
  </si>
  <si>
    <t>FFO / TOTAL DEBT</t>
  </si>
  <si>
    <t>CFO Pre WC / Debt</t>
  </si>
  <si>
    <t>Affilliated Current Borrowing</t>
  </si>
  <si>
    <t>OSF Cost per Dth Produced</t>
  </si>
  <si>
    <t>Wexpro Production (IRP Variance Report)</t>
  </si>
  <si>
    <t>Deferred Tax</t>
  </si>
  <si>
    <t xml:space="preserve">5 yr  </t>
  </si>
  <si>
    <t>3rd Qrtr</t>
  </si>
  <si>
    <t>page 2 of 4</t>
  </si>
  <si>
    <t>page 1 of 4</t>
  </si>
  <si>
    <t>page 4 of 4</t>
  </si>
  <si>
    <t>page 3 of 4</t>
  </si>
  <si>
    <t xml:space="preserve">   Commercial Sales</t>
  </si>
  <si>
    <t xml:space="preserve">   Residential Sales</t>
  </si>
  <si>
    <t>Other Accounts Receivable</t>
  </si>
  <si>
    <t>Derivative Assets</t>
  </si>
  <si>
    <t>Derivative Liabilities</t>
  </si>
  <si>
    <t xml:space="preserve">     Issuance of Short Term Debt</t>
  </si>
  <si>
    <t xml:space="preserve">     Contribution from Parent</t>
  </si>
  <si>
    <t>Questar Gas Company dba Enbridge Gas Utah</t>
  </si>
  <si>
    <t xml:space="preserve">       Other adjustments for non-cash items</t>
  </si>
  <si>
    <t>Dividend Payable</t>
  </si>
  <si>
    <t xml:space="preserve">     Repayment of Short-Term Debt</t>
  </si>
  <si>
    <t xml:space="preserve">     Issuance of LT Debt</t>
  </si>
  <si>
    <t>2020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</si>
</sst>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00_);\(#,##0.000\)"/>
    <numFmt numFmtId="166" formatCode="0.0000%"/>
    <numFmt numFmtId="167" formatCode="0_);\(0\)"/>
    <numFmt numFmtId="168" formatCode="[$-409]mmmm\ d\,\ yyyy;@"/>
    <numFmt numFmtId="169" formatCode="_(* #,##0_);_(* \(#,##0\);_(* &quot;-&quot;??_);_(@_)"/>
    <numFmt numFmtId="170" formatCode="_(* #,##0.0_);_(* \(#,##0.0\);_(* &quot;-&quot;??_);_(@_)"/>
    <numFmt numFmtId="171" formatCode="0.0%"/>
    <numFmt numFmtId="172" formatCode="0.0%;\(0.0%\)"/>
    <numFmt numFmtId="173" formatCode="0.00%;\(0.00%\)"/>
    <numFmt numFmtId="174" formatCode="#,##0.0_);\(#,##0.0\)"/>
    <numFmt numFmtId="175" formatCode="_(* #,##0.00000_);_(* \(#,##0.00000\);_(* &quot;-&quot;??_);_(@_)"/>
  </numFmts>
  <fonts count="2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u/>
      <sz val="12"/>
      <name val="Arial"/>
      <family val="2"/>
    </font>
    <font>
      <b/>
      <sz val="12"/>
      <color rgb="FFFF0000"/>
      <name val="Times New Roman"/>
      <family val="1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</fills>
  <borders count="2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3" fontId="7" fillId="2" borderId="0"/>
    <xf numFmtId="7" fontId="7" fillId="2" borderId="0"/>
    <xf numFmtId="5" fontId="7" fillId="2" borderId="0"/>
    <xf numFmtId="0" fontId="7" fillId="2" borderId="0"/>
    <xf numFmtId="2" fontId="7" fillId="2" borderId="0"/>
    <xf numFmtId="0" fontId="1" fillId="2" borderId="0"/>
    <xf numFmtId="0" fontId="2" fillId="2" borderId="0"/>
    <xf numFmtId="0" fontId="7" fillId="0" borderId="0" applyFill="0" applyBorder="0"/>
    <xf numFmtId="10" fontId="6" fillId="2" borderId="0"/>
    <xf numFmtId="0" fontId="7" fillId="2" borderId="1"/>
    <xf numFmtId="43" fontId="16" fillId="0" borderId="0" applyFont="0" applyFill="0" applyBorder="0" applyAlignment="0" applyProtection="0"/>
  </cellStyleXfs>
  <cellXfs count="321">
    <xf numFmtId="5" fontId="0" fillId="2" borderId="0" xfId="0" applyNumberFormat="1" applyFill="1"/>
    <xf numFmtId="10" fontId="0" fillId="2" borderId="0" xfId="0" applyNumberFormat="1" applyFill="1"/>
    <xf numFmtId="5" fontId="3" fillId="2" borderId="0" xfId="0" applyNumberFormat="1" applyFont="1" applyFill="1"/>
    <xf numFmtId="10" fontId="3" fillId="2" borderId="0" xfId="0" applyNumberFormat="1" applyFont="1" applyFill="1"/>
    <xf numFmtId="0" fontId="7" fillId="2" borderId="0" xfId="8" applyFill="1"/>
    <xf numFmtId="164" fontId="7" fillId="2" borderId="0" xfId="8" applyNumberFormat="1" applyFill="1"/>
    <xf numFmtId="0" fontId="6" fillId="2" borderId="0" xfId="8" applyFont="1" applyFill="1"/>
    <xf numFmtId="0" fontId="6" fillId="2" borderId="0" xfId="8" applyFont="1" applyFill="1" applyAlignment="1">
      <alignment horizontal="centerContinuous"/>
    </xf>
    <xf numFmtId="0" fontId="6" fillId="2" borderId="0" xfId="8" applyFont="1" applyFill="1" applyBorder="1"/>
    <xf numFmtId="37" fontId="6" fillId="2" borderId="0" xfId="8" applyNumberFormat="1" applyFont="1" applyFill="1"/>
    <xf numFmtId="167" fontId="6" fillId="2" borderId="0" xfId="8" applyNumberFormat="1" applyFont="1" applyFill="1"/>
    <xf numFmtId="5" fontId="5" fillId="3" borderId="0" xfId="2" applyNumberFormat="1" applyFont="1" applyFill="1"/>
    <xf numFmtId="167" fontId="6" fillId="2" borderId="0" xfId="8" applyNumberFormat="1" applyFont="1" applyFill="1" applyAlignment="1">
      <alignment horizontal="centerContinuous"/>
    </xf>
    <xf numFmtId="165" fontId="8" fillId="0" borderId="0" xfId="0" applyNumberFormat="1" applyFont="1" applyAlignment="1">
      <alignment horizontal="center"/>
    </xf>
    <xf numFmtId="0" fontId="10" fillId="2" borderId="0" xfId="8" applyFont="1" applyFill="1" applyAlignment="1">
      <alignment horizontal="centerContinuous"/>
    </xf>
    <xf numFmtId="10" fontId="2" fillId="2" borderId="0" xfId="0" applyNumberFormat="1" applyFont="1" applyFill="1"/>
    <xf numFmtId="10" fontId="2" fillId="2" borderId="0" xfId="0" applyNumberFormat="1" applyFont="1" applyFill="1" applyAlignment="1">
      <alignment horizontal="right"/>
    </xf>
    <xf numFmtId="0" fontId="11" fillId="2" borderId="0" xfId="8" applyFont="1" applyFill="1" applyAlignment="1">
      <alignment horizontal="center"/>
    </xf>
    <xf numFmtId="0" fontId="11" fillId="2" borderId="0" xfId="8" applyFont="1" applyFill="1"/>
    <xf numFmtId="37" fontId="11" fillId="0" borderId="0" xfId="8" applyNumberFormat="1" applyFont="1" applyBorder="1"/>
    <xf numFmtId="5" fontId="11" fillId="2" borderId="0" xfId="0" applyNumberFormat="1" applyFont="1" applyFill="1" applyAlignment="1">
      <alignment horizontal="right"/>
    </xf>
    <xf numFmtId="0" fontId="11" fillId="0" borderId="3" xfId="8" applyFont="1" applyFill="1" applyBorder="1" applyAlignment="1">
      <alignment horizontal="right"/>
    </xf>
    <xf numFmtId="37" fontId="11" fillId="0" borderId="0" xfId="8" applyNumberFormat="1" applyFont="1" applyFill="1" applyBorder="1" applyAlignment="1">
      <alignment horizontal="right"/>
    </xf>
    <xf numFmtId="0" fontId="11" fillId="0" borderId="0" xfId="8" applyFont="1" applyFill="1" applyBorder="1" applyAlignment="1">
      <alignment horizontal="right"/>
    </xf>
    <xf numFmtId="0" fontId="11" fillId="2" borderId="0" xfId="8" applyFont="1" applyFill="1" applyBorder="1" applyAlignment="1">
      <alignment horizontal="right"/>
    </xf>
    <xf numFmtId="0" fontId="11" fillId="2" borderId="4" xfId="8" applyFont="1" applyFill="1" applyBorder="1" applyAlignment="1">
      <alignment horizontal="right"/>
    </xf>
    <xf numFmtId="10" fontId="11" fillId="2" borderId="0" xfId="8" applyNumberFormat="1" applyFont="1" applyFill="1"/>
    <xf numFmtId="37" fontId="11" fillId="0" borderId="0" xfId="8" applyNumberFormat="1" applyFont="1" applyFill="1" applyBorder="1" applyAlignment="1">
      <alignment vertical="center"/>
    </xf>
    <xf numFmtId="37" fontId="11" fillId="0" borderId="0" xfId="8" applyNumberFormat="1" applyFont="1" applyBorder="1" applyAlignment="1">
      <alignment horizontal="right"/>
    </xf>
    <xf numFmtId="37" fontId="11" fillId="2" borderId="0" xfId="8" applyNumberFormat="1" applyFont="1" applyFill="1" applyBorder="1" applyAlignment="1">
      <alignment horizontal="right"/>
    </xf>
    <xf numFmtId="0" fontId="11" fillId="0" borderId="0" xfId="8" applyFont="1" applyFill="1" applyBorder="1" applyAlignment="1">
      <alignment vertical="center"/>
    </xf>
    <xf numFmtId="164" fontId="11" fillId="2" borderId="0" xfId="8" applyNumberFormat="1" applyFont="1" applyFill="1"/>
    <xf numFmtId="37" fontId="11" fillId="0" borderId="0" xfId="8" applyNumberFormat="1" applyFont="1" applyBorder="1" applyAlignment="1">
      <alignment vertical="center"/>
    </xf>
    <xf numFmtId="10" fontId="11" fillId="2" borderId="0" xfId="0" applyNumberFormat="1" applyFont="1" applyFill="1"/>
    <xf numFmtId="0" fontId="11" fillId="0" borderId="0" xfId="8" applyFont="1" applyBorder="1" applyAlignment="1">
      <alignment vertical="center"/>
    </xf>
    <xf numFmtId="10" fontId="11" fillId="2" borderId="0" xfId="9" applyFont="1"/>
    <xf numFmtId="37" fontId="11" fillId="2" borderId="0" xfId="8" applyNumberFormat="1" applyFont="1" applyFill="1" applyBorder="1"/>
    <xf numFmtId="37" fontId="11" fillId="3" borderId="0" xfId="8" applyNumberFormat="1" applyFont="1" applyFill="1" applyBorder="1" applyAlignment="1">
      <alignment horizontal="right"/>
    </xf>
    <xf numFmtId="37" fontId="11" fillId="3" borderId="0" xfId="8" quotePrefix="1" applyNumberFormat="1" applyFont="1" applyFill="1" applyBorder="1" applyAlignment="1">
      <alignment horizontal="left"/>
    </xf>
    <xf numFmtId="37" fontId="11" fillId="2" borderId="0" xfId="8" applyNumberFormat="1" applyFont="1" applyFill="1"/>
    <xf numFmtId="37" fontId="11" fillId="0" borderId="0" xfId="8" quotePrefix="1" applyNumberFormat="1" applyFont="1" applyBorder="1" applyAlignment="1">
      <alignment horizontal="left" vertical="center"/>
    </xf>
    <xf numFmtId="10" fontId="11" fillId="2" borderId="3" xfId="0" applyNumberFormat="1" applyFont="1" applyFill="1" applyBorder="1"/>
    <xf numFmtId="37" fontId="11" fillId="0" borderId="4" xfId="8" applyNumberFormat="1" applyFont="1" applyBorder="1" applyAlignment="1">
      <alignment horizontal="right"/>
    </xf>
    <xf numFmtId="10" fontId="11" fillId="2" borderId="4" xfId="9" applyFont="1" applyBorder="1"/>
    <xf numFmtId="37" fontId="11" fillId="3" borderId="4" xfId="8" applyNumberFormat="1" applyFont="1" applyFill="1" applyBorder="1" applyAlignment="1">
      <alignment horizontal="right"/>
    </xf>
    <xf numFmtId="37" fontId="11" fillId="2" borderId="4" xfId="8" applyNumberFormat="1" applyFont="1" applyFill="1" applyBorder="1" applyAlignment="1">
      <alignment horizontal="right"/>
    </xf>
    <xf numFmtId="37" fontId="11" fillId="3" borderId="4" xfId="2" applyNumberFormat="1" applyFont="1" applyFill="1" applyBorder="1" applyAlignment="1">
      <alignment horizontal="right"/>
    </xf>
    <xf numFmtId="2" fontId="11" fillId="2" borderId="0" xfId="8" applyNumberFormat="1" applyFont="1" applyFill="1" applyBorder="1"/>
    <xf numFmtId="2" fontId="11" fillId="2" borderId="5" xfId="8" applyNumberFormat="1" applyFont="1" applyFill="1" applyBorder="1"/>
    <xf numFmtId="2" fontId="11" fillId="3" borderId="5" xfId="2" applyNumberFormat="1" applyFont="1" applyFill="1" applyBorder="1"/>
    <xf numFmtId="0" fontId="11" fillId="2" borderId="0" xfId="8" applyFont="1" applyFill="1" applyBorder="1"/>
    <xf numFmtId="10" fontId="11" fillId="2" borderId="5" xfId="9" applyFont="1" applyBorder="1"/>
    <xf numFmtId="0" fontId="11" fillId="2" borderId="5" xfId="8" applyFont="1" applyFill="1" applyBorder="1"/>
    <xf numFmtId="5" fontId="12" fillId="2" borderId="0" xfId="8" applyNumberFormat="1" applyFont="1" applyFill="1" applyAlignment="1">
      <alignment horizontal="centerContinuous"/>
    </xf>
    <xf numFmtId="5" fontId="10" fillId="2" borderId="0" xfId="0" applyNumberFormat="1" applyFont="1" applyFill="1" applyAlignment="1">
      <alignment horizontal="centerContinuous"/>
    </xf>
    <xf numFmtId="5" fontId="9" fillId="2" borderId="0" xfId="0" applyNumberFormat="1" applyFont="1" applyFill="1" applyAlignment="1">
      <alignment horizontal="centerContinuous"/>
    </xf>
    <xf numFmtId="10" fontId="9" fillId="2" borderId="0" xfId="0" applyNumberFormat="1" applyFont="1" applyFill="1" applyAlignment="1">
      <alignment horizontal="centerContinuous"/>
    </xf>
    <xf numFmtId="5" fontId="11" fillId="2" borderId="0" xfId="0" applyNumberFormat="1" applyFont="1" applyFill="1" applyAlignment="1">
      <alignment horizontal="centerContinuous"/>
    </xf>
    <xf numFmtId="10" fontId="11" fillId="2" borderId="0" xfId="0" applyNumberFormat="1" applyFont="1" applyFill="1" applyAlignment="1">
      <alignment horizontal="centerContinuous"/>
    </xf>
    <xf numFmtId="5" fontId="11" fillId="2" borderId="0" xfId="0" applyNumberFormat="1" applyFont="1" applyFill="1"/>
    <xf numFmtId="0" fontId="11" fillId="2" borderId="0" xfId="0" applyFont="1" applyFill="1"/>
    <xf numFmtId="10" fontId="11" fillId="2" borderId="0" xfId="0" applyNumberFormat="1" applyFont="1" applyFill="1" applyAlignment="1">
      <alignment horizontal="right"/>
    </xf>
    <xf numFmtId="5" fontId="11" fillId="2" borderId="0" xfId="0" quotePrefix="1" applyNumberFormat="1" applyFont="1" applyFill="1" applyAlignment="1">
      <alignment horizontal="left"/>
    </xf>
    <xf numFmtId="10" fontId="11" fillId="2" borderId="2" xfId="0" applyNumberFormat="1" applyFont="1" applyFill="1" applyBorder="1"/>
    <xf numFmtId="10" fontId="11" fillId="2" borderId="4" xfId="0" applyNumberFormat="1" applyFont="1" applyFill="1" applyBorder="1"/>
    <xf numFmtId="10" fontId="11" fillId="2" borderId="6" xfId="0" applyNumberFormat="1" applyFont="1" applyFill="1" applyBorder="1"/>
    <xf numFmtId="5" fontId="11" fillId="2" borderId="0" xfId="0" applyNumberFormat="1" applyFont="1" applyFill="1" applyAlignment="1">
      <alignment horizontal="left"/>
    </xf>
    <xf numFmtId="10" fontId="11" fillId="2" borderId="7" xfId="0" applyNumberFormat="1" applyFont="1" applyFill="1" applyBorder="1"/>
    <xf numFmtId="10" fontId="10" fillId="2" borderId="0" xfId="0" applyNumberFormat="1" applyFont="1" applyFill="1" applyAlignment="1">
      <alignment horizontal="centerContinuous"/>
    </xf>
    <xf numFmtId="5" fontId="10" fillId="2" borderId="0" xfId="0" applyNumberFormat="1" applyFont="1" applyFill="1"/>
    <xf numFmtId="10" fontId="10" fillId="2" borderId="0" xfId="0" applyNumberFormat="1" applyFont="1" applyFill="1"/>
    <xf numFmtId="5" fontId="10" fillId="2" borderId="0" xfId="0" applyNumberFormat="1" applyFont="1" applyFill="1" applyAlignment="1">
      <alignment horizontal="right"/>
    </xf>
    <xf numFmtId="16" fontId="10" fillId="2" borderId="0" xfId="0" applyNumberFormat="1" applyFont="1" applyFill="1" applyAlignment="1">
      <alignment horizontal="right"/>
    </xf>
    <xf numFmtId="10" fontId="10" fillId="2" borderId="0" xfId="0" applyNumberFormat="1" applyFont="1" applyFill="1" applyAlignment="1">
      <alignment horizontal="right"/>
    </xf>
    <xf numFmtId="16" fontId="10" fillId="2" borderId="0" xfId="0" applyNumberFormat="1" applyFont="1" applyFill="1"/>
    <xf numFmtId="0" fontId="10" fillId="2" borderId="2" xfId="0" applyFont="1" applyFill="1" applyBorder="1"/>
    <xf numFmtId="5" fontId="10" fillId="2" borderId="2" xfId="0" applyNumberFormat="1" applyFont="1" applyFill="1" applyBorder="1"/>
    <xf numFmtId="5" fontId="11" fillId="0" borderId="0" xfId="0" applyNumberFormat="1" applyFont="1"/>
    <xf numFmtId="0" fontId="11" fillId="3" borderId="0" xfId="0" quotePrefix="1" applyFont="1" applyFill="1" applyAlignment="1">
      <alignment horizontal="left"/>
    </xf>
    <xf numFmtId="0" fontId="11" fillId="3" borderId="0" xfId="0" applyFont="1" applyFill="1"/>
    <xf numFmtId="2" fontId="11" fillId="2" borderId="0" xfId="0" applyNumberFormat="1" applyFont="1" applyFill="1"/>
    <xf numFmtId="5" fontId="14" fillId="2" borderId="0" xfId="0" applyNumberFormat="1" applyFont="1" applyFill="1"/>
    <xf numFmtId="10" fontId="13" fillId="2" borderId="0" xfId="0" quotePrefix="1" applyNumberFormat="1" applyFont="1" applyFill="1" applyAlignment="1">
      <alignment horizontal="right"/>
    </xf>
    <xf numFmtId="10" fontId="13" fillId="2" borderId="2" xfId="0" applyNumberFormat="1" applyFont="1" applyFill="1" applyBorder="1" applyAlignment="1">
      <alignment horizontal="right"/>
    </xf>
    <xf numFmtId="5" fontId="13" fillId="2" borderId="0" xfId="0" applyNumberFormat="1" applyFont="1" applyFill="1" applyAlignment="1">
      <alignment horizontal="right"/>
    </xf>
    <xf numFmtId="10" fontId="13" fillId="2" borderId="0" xfId="0" applyNumberFormat="1" applyFont="1" applyFill="1" applyAlignment="1">
      <alignment horizontal="right"/>
    </xf>
    <xf numFmtId="5" fontId="15" fillId="2" borderId="0" xfId="0" applyNumberFormat="1" applyFont="1" applyFill="1"/>
    <xf numFmtId="37" fontId="11" fillId="0" borderId="3" xfId="8" applyNumberFormat="1" applyFont="1" applyBorder="1" applyAlignment="1">
      <alignment horizontal="right"/>
    </xf>
    <xf numFmtId="10" fontId="11" fillId="2" borderId="3" xfId="8" applyNumberFormat="1" applyFont="1" applyFill="1" applyBorder="1"/>
    <xf numFmtId="37" fontId="10" fillId="2" borderId="0" xfId="8" applyNumberFormat="1" applyFont="1" applyFill="1" applyAlignment="1">
      <alignment horizontal="centerContinuous"/>
    </xf>
    <xf numFmtId="37" fontId="10" fillId="0" borderId="0" xfId="8" applyNumberFormat="1" applyFont="1" applyBorder="1"/>
    <xf numFmtId="37" fontId="10" fillId="2" borderId="0" xfId="0" applyNumberFormat="1" applyFont="1" applyFill="1" applyAlignment="1">
      <alignment horizontal="right"/>
    </xf>
    <xf numFmtId="37" fontId="10" fillId="2" borderId="0" xfId="0" quotePrefix="1" applyNumberFormat="1" applyFont="1" applyFill="1" applyAlignment="1">
      <alignment horizontal="right"/>
    </xf>
    <xf numFmtId="0" fontId="10" fillId="0" borderId="3" xfId="8" applyFont="1" applyFill="1" applyBorder="1" applyAlignment="1">
      <alignment horizontal="right"/>
    </xf>
    <xf numFmtId="3" fontId="11" fillId="0" borderId="0" xfId="8" applyNumberFormat="1" applyFont="1" applyFill="1" applyBorder="1" applyAlignment="1">
      <alignment horizontal="right"/>
    </xf>
    <xf numFmtId="0" fontId="10" fillId="2" borderId="0" xfId="8" applyFont="1" applyFill="1" applyAlignment="1">
      <alignment horizontal="center"/>
    </xf>
    <xf numFmtId="10" fontId="13" fillId="2" borderId="0" xfId="8" applyNumberFormat="1" applyFont="1" applyFill="1" applyAlignment="1">
      <alignment horizontal="right"/>
    </xf>
    <xf numFmtId="10" fontId="13" fillId="2" borderId="2" xfId="0" quotePrefix="1" applyNumberFormat="1" applyFont="1" applyFill="1" applyBorder="1" applyAlignment="1">
      <alignment horizontal="right"/>
    </xf>
    <xf numFmtId="169" fontId="11" fillId="2" borderId="0" xfId="11" applyNumberFormat="1" applyFont="1" applyFill="1"/>
    <xf numFmtId="16" fontId="2" fillId="2" borderId="0" xfId="0" applyNumberFormat="1" applyFont="1" applyFill="1" applyAlignment="1">
      <alignment horizontal="right"/>
    </xf>
    <xf numFmtId="10" fontId="3" fillId="2" borderId="0" xfId="9" applyFont="1"/>
    <xf numFmtId="0" fontId="2" fillId="0" borderId="0" xfId="8" applyFont="1" applyFill="1" applyBorder="1" applyAlignment="1">
      <alignment horizontal="right"/>
    </xf>
    <xf numFmtId="166" fontId="3" fillId="2" borderId="0" xfId="0" applyNumberFormat="1" applyFont="1" applyFill="1"/>
    <xf numFmtId="0" fontId="2" fillId="2" borderId="0" xfId="11" applyNumberFormat="1" applyFont="1" applyFill="1" applyBorder="1" applyAlignment="1">
      <alignment horizontal="right"/>
    </xf>
    <xf numFmtId="5" fontId="0" fillId="2" borderId="3" xfId="0" applyNumberFormat="1" applyFill="1" applyBorder="1"/>
    <xf numFmtId="170" fontId="11" fillId="2" borderId="3" xfId="11" applyNumberFormat="1" applyFont="1" applyFill="1" applyBorder="1"/>
    <xf numFmtId="171" fontId="11" fillId="2" borderId="0" xfId="9" applyNumberFormat="1" applyFont="1"/>
    <xf numFmtId="171" fontId="11" fillId="2" borderId="3" xfId="9" applyNumberFormat="1" applyFont="1" applyBorder="1"/>
    <xf numFmtId="10" fontId="2" fillId="2" borderId="0" xfId="0" quotePrefix="1" applyNumberFormat="1" applyFont="1" applyFill="1" applyAlignment="1">
      <alignment horizontal="right"/>
    </xf>
    <xf numFmtId="0" fontId="14" fillId="3" borderId="0" xfId="0" applyFont="1" applyFill="1"/>
    <xf numFmtId="0" fontId="11" fillId="3" borderId="0" xfId="0" applyFont="1" applyFill="1" applyAlignment="1">
      <alignment horizontal="left"/>
    </xf>
    <xf numFmtId="43" fontId="11" fillId="2" borderId="0" xfId="11" applyFont="1" applyFill="1"/>
    <xf numFmtId="43" fontId="11" fillId="2" borderId="0" xfId="0" applyNumberFormat="1" applyFont="1" applyFill="1"/>
    <xf numFmtId="171" fontId="11" fillId="2" borderId="0" xfId="0" applyNumberFormat="1" applyFont="1" applyFill="1"/>
    <xf numFmtId="10" fontId="11" fillId="0" borderId="0" xfId="0" applyNumberFormat="1" applyFont="1"/>
    <xf numFmtId="5" fontId="14" fillId="2" borderId="8" xfId="0" applyNumberFormat="1" applyFont="1" applyFill="1" applyBorder="1"/>
    <xf numFmtId="5" fontId="0" fillId="2" borderId="4" xfId="0" applyNumberFormat="1" applyFill="1" applyBorder="1"/>
    <xf numFmtId="5" fontId="0" fillId="2" borderId="9" xfId="0" applyNumberFormat="1" applyFill="1" applyBorder="1"/>
    <xf numFmtId="5" fontId="11" fillId="2" borderId="10" xfId="0" applyNumberFormat="1" applyFont="1" applyFill="1" applyBorder="1"/>
    <xf numFmtId="170" fontId="11" fillId="2" borderId="0" xfId="11" applyNumberFormat="1" applyFont="1" applyFill="1" applyBorder="1"/>
    <xf numFmtId="170" fontId="11" fillId="2" borderId="11" xfId="0" applyNumberFormat="1" applyFont="1" applyFill="1" applyBorder="1"/>
    <xf numFmtId="5" fontId="0" fillId="2" borderId="10" xfId="0" applyNumberFormat="1" applyFill="1" applyBorder="1"/>
    <xf numFmtId="5" fontId="0" fillId="2" borderId="11" xfId="0" applyNumberFormat="1" applyFill="1" applyBorder="1"/>
    <xf numFmtId="5" fontId="2" fillId="2" borderId="10" xfId="0" applyNumberFormat="1" applyFont="1" applyFill="1" applyBorder="1"/>
    <xf numFmtId="5" fontId="14" fillId="2" borderId="10" xfId="0" applyNumberFormat="1" applyFont="1" applyFill="1" applyBorder="1"/>
    <xf numFmtId="5" fontId="11" fillId="2" borderId="12" xfId="0" applyNumberFormat="1" applyFont="1" applyFill="1" applyBorder="1"/>
    <xf numFmtId="7" fontId="11" fillId="2" borderId="0" xfId="0" applyNumberFormat="1" applyFont="1" applyFill="1"/>
    <xf numFmtId="172" fontId="11" fillId="2" borderId="0" xfId="9" applyNumberFormat="1" applyFont="1"/>
    <xf numFmtId="37" fontId="11" fillId="0" borderId="0" xfId="8" applyNumberFormat="1" applyFont="1" applyBorder="1" applyAlignment="1">
      <alignment horizontal="left" vertical="center"/>
    </xf>
    <xf numFmtId="4" fontId="11" fillId="2" borderId="0" xfId="0" applyNumberFormat="1" applyFont="1" applyFill="1"/>
    <xf numFmtId="10" fontId="11" fillId="2" borderId="3" xfId="9" applyFont="1" applyBorder="1"/>
    <xf numFmtId="173" fontId="11" fillId="2" borderId="0" xfId="9" applyNumberFormat="1" applyFont="1"/>
    <xf numFmtId="0" fontId="10" fillId="2" borderId="0" xfId="0" applyFont="1" applyFill="1" applyAlignment="1">
      <alignment horizontal="right"/>
    </xf>
    <xf numFmtId="0" fontId="10" fillId="2" borderId="3" xfId="0" applyFont="1" applyFill="1" applyBorder="1"/>
    <xf numFmtId="43" fontId="0" fillId="2" borderId="0" xfId="11" applyFont="1" applyFill="1" applyBorder="1"/>
    <xf numFmtId="0" fontId="10" fillId="0" borderId="0" xfId="8" applyFont="1" applyFill="1" applyBorder="1" applyAlignment="1">
      <alignment horizontal="right"/>
    </xf>
    <xf numFmtId="7" fontId="11" fillId="2" borderId="0" xfId="2" applyFont="1"/>
    <xf numFmtId="5" fontId="17" fillId="2" borderId="0" xfId="0" applyNumberFormat="1" applyFont="1" applyFill="1"/>
    <xf numFmtId="5" fontId="2" fillId="4" borderId="0" xfId="0" applyNumberFormat="1" applyFont="1" applyFill="1"/>
    <xf numFmtId="5" fontId="2" fillId="2" borderId="0" xfId="0" applyNumberFormat="1" applyFont="1" applyFill="1"/>
    <xf numFmtId="171" fontId="2" fillId="2" borderId="0" xfId="9" applyNumberFormat="1" applyFont="1"/>
    <xf numFmtId="171" fontId="3" fillId="2" borderId="0" xfId="9" applyNumberFormat="1" applyFont="1"/>
    <xf numFmtId="43" fontId="0" fillId="2" borderId="0" xfId="11" applyFont="1" applyFill="1"/>
    <xf numFmtId="44" fontId="11" fillId="2" borderId="0" xfId="2" applyNumberFormat="1" applyFont="1"/>
    <xf numFmtId="44" fontId="11" fillId="2" borderId="0" xfId="0" applyNumberFormat="1" applyFont="1" applyFill="1"/>
    <xf numFmtId="44" fontId="11" fillId="2" borderId="11" xfId="0" applyNumberFormat="1" applyFont="1" applyFill="1" applyBorder="1"/>
    <xf numFmtId="43" fontId="11" fillId="2" borderId="0" xfId="11" applyFont="1" applyFill="1" applyBorder="1"/>
    <xf numFmtId="5" fontId="7" fillId="2" borderId="0" xfId="0" applyNumberFormat="1" applyFont="1" applyFill="1"/>
    <xf numFmtId="16" fontId="2" fillId="2" borderId="0" xfId="11" applyNumberFormat="1" applyFont="1" applyFill="1" applyBorder="1" applyAlignment="1">
      <alignment horizontal="right"/>
    </xf>
    <xf numFmtId="16" fontId="10" fillId="0" borderId="0" xfId="8" applyNumberFormat="1" applyFont="1" applyFill="1" applyBorder="1" applyAlignment="1">
      <alignment horizontal="right"/>
    </xf>
    <xf numFmtId="2" fontId="0" fillId="2" borderId="0" xfId="0" applyNumberFormat="1" applyFill="1"/>
    <xf numFmtId="10" fontId="19" fillId="4" borderId="0" xfId="9" applyFont="1" applyFill="1"/>
    <xf numFmtId="0" fontId="0" fillId="2" borderId="0" xfId="0" applyFill="1"/>
    <xf numFmtId="10" fontId="20" fillId="2" borderId="0" xfId="9" applyFont="1"/>
    <xf numFmtId="43" fontId="20" fillId="2" borderId="0" xfId="11" applyFont="1" applyFill="1"/>
    <xf numFmtId="170" fontId="11" fillId="2" borderId="0" xfId="11" applyNumberFormat="1" applyFont="1" applyFill="1"/>
    <xf numFmtId="0" fontId="2" fillId="2" borderId="3" xfId="9" applyNumberFormat="1" applyFont="1" applyBorder="1" applyAlignment="1">
      <alignment horizontal="center"/>
    </xf>
    <xf numFmtId="170" fontId="2" fillId="2" borderId="0" xfId="11" applyNumberFormat="1" applyFont="1" applyFill="1"/>
    <xf numFmtId="0" fontId="2" fillId="2" borderId="0" xfId="9" applyNumberFormat="1" applyFont="1" applyAlignment="1">
      <alignment horizontal="center"/>
    </xf>
    <xf numFmtId="43" fontId="11" fillId="2" borderId="11" xfId="0" applyNumberFormat="1" applyFont="1" applyFill="1" applyBorder="1"/>
    <xf numFmtId="43" fontId="11" fillId="2" borderId="11" xfId="11" applyFont="1" applyFill="1" applyBorder="1"/>
    <xf numFmtId="43" fontId="7" fillId="2" borderId="0" xfId="11" applyFont="1" applyFill="1"/>
    <xf numFmtId="43" fontId="21" fillId="4" borderId="0" xfId="11" applyFont="1" applyFill="1"/>
    <xf numFmtId="171" fontId="11" fillId="2" borderId="3" xfId="0" applyNumberFormat="1" applyFont="1" applyFill="1" applyBorder="1"/>
    <xf numFmtId="0" fontId="11" fillId="2" borderId="0" xfId="11" applyNumberFormat="1" applyFont="1" applyFill="1"/>
    <xf numFmtId="170" fontId="0" fillId="2" borderId="0" xfId="11" applyNumberFormat="1" applyFont="1" applyFill="1"/>
    <xf numFmtId="171" fontId="2" fillId="2" borderId="0" xfId="0" applyNumberFormat="1" applyFont="1" applyFill="1"/>
    <xf numFmtId="5" fontId="13" fillId="2" borderId="3" xfId="0" applyNumberFormat="1" applyFont="1" applyFill="1" applyBorder="1" applyAlignment="1">
      <alignment horizontal="right"/>
    </xf>
    <xf numFmtId="170" fontId="11" fillId="0" borderId="0" xfId="11" applyNumberFormat="1" applyFont="1" applyFill="1" applyBorder="1"/>
    <xf numFmtId="170" fontId="11" fillId="0" borderId="3" xfId="11" applyNumberFormat="1" applyFont="1" applyFill="1" applyBorder="1"/>
    <xf numFmtId="10" fontId="13" fillId="2" borderId="0" xfId="0" applyNumberFormat="1" applyFont="1" applyFill="1" applyAlignment="1">
      <alignment horizontal="center"/>
    </xf>
    <xf numFmtId="170" fontId="11" fillId="0" borderId="0" xfId="11" applyNumberFormat="1" applyFont="1" applyFill="1"/>
    <xf numFmtId="5" fontId="13" fillId="2" borderId="0" xfId="0" applyNumberFormat="1" applyFont="1" applyFill="1"/>
    <xf numFmtId="2" fontId="11" fillId="0" borderId="0" xfId="0" applyNumberFormat="1" applyFont="1"/>
    <xf numFmtId="43" fontId="2" fillId="2" borderId="0" xfId="11" applyFont="1" applyFill="1"/>
    <xf numFmtId="0" fontId="2" fillId="2" borderId="0" xfId="11" applyNumberFormat="1" applyFont="1" applyFill="1"/>
    <xf numFmtId="10" fontId="6" fillId="2" borderId="0" xfId="9"/>
    <xf numFmtId="5" fontId="11" fillId="0" borderId="0" xfId="0" applyNumberFormat="1" applyFont="1" applyAlignment="1">
      <alignment horizontal="right"/>
    </xf>
    <xf numFmtId="170" fontId="11" fillId="2" borderId="4" xfId="11" applyNumberFormat="1" applyFont="1" applyFill="1" applyBorder="1"/>
    <xf numFmtId="10" fontId="13" fillId="0" borderId="0" xfId="0" quotePrefix="1" applyNumberFormat="1" applyFont="1" applyAlignment="1">
      <alignment horizontal="right"/>
    </xf>
    <xf numFmtId="10" fontId="13" fillId="0" borderId="0" xfId="0" applyNumberFormat="1" applyFont="1" applyAlignment="1">
      <alignment horizontal="center"/>
    </xf>
    <xf numFmtId="10" fontId="13" fillId="0" borderId="2" xfId="0" applyNumberFormat="1" applyFont="1" applyBorder="1" applyAlignment="1">
      <alignment horizontal="right"/>
    </xf>
    <xf numFmtId="10" fontId="13" fillId="0" borderId="0" xfId="0" applyNumberFormat="1" applyFont="1" applyAlignment="1">
      <alignment horizontal="right"/>
    </xf>
    <xf numFmtId="171" fontId="11" fillId="2" borderId="11" xfId="9" applyNumberFormat="1" applyFont="1" applyBorder="1"/>
    <xf numFmtId="171" fontId="20" fillId="2" borderId="0" xfId="9" applyNumberFormat="1" applyFont="1"/>
    <xf numFmtId="171" fontId="11" fillId="0" borderId="0" xfId="0" applyNumberFormat="1" applyFont="1"/>
    <xf numFmtId="171" fontId="11" fillId="0" borderId="0" xfId="9" applyNumberFormat="1" applyFont="1" applyFill="1"/>
    <xf numFmtId="170" fontId="11" fillId="2" borderId="0" xfId="11" applyNumberFormat="1" applyFont="1" applyFill="1" applyAlignment="1">
      <alignment horizontal="right"/>
    </xf>
    <xf numFmtId="170" fontId="11" fillId="2" borderId="5" xfId="11" applyNumberFormat="1" applyFont="1" applyFill="1" applyBorder="1"/>
    <xf numFmtId="170" fontId="18" fillId="2" borderId="5" xfId="11" applyNumberFormat="1" applyFont="1" applyFill="1" applyBorder="1"/>
    <xf numFmtId="170" fontId="18" fillId="2" borderId="0" xfId="11" applyNumberFormat="1" applyFont="1" applyFill="1"/>
    <xf numFmtId="170" fontId="11" fillId="2" borderId="6" xfId="11" applyNumberFormat="1" applyFont="1" applyFill="1" applyBorder="1"/>
    <xf numFmtId="37" fontId="2" fillId="0" borderId="0" xfId="8" applyNumberFormat="1" applyFont="1" applyBorder="1"/>
    <xf numFmtId="170" fontId="11" fillId="0" borderId="4" xfId="11" applyNumberFormat="1" applyFont="1" applyFill="1" applyBorder="1"/>
    <xf numFmtId="170" fontId="3" fillId="2" borderId="0" xfId="11" applyNumberFormat="1" applyFont="1" applyFill="1"/>
    <xf numFmtId="170" fontId="11" fillId="3" borderId="0" xfId="11" applyNumberFormat="1" applyFont="1" applyFill="1" applyBorder="1"/>
    <xf numFmtId="170" fontId="6" fillId="2" borderId="0" xfId="11" applyNumberFormat="1" applyFont="1" applyFill="1"/>
    <xf numFmtId="170" fontId="11" fillId="0" borderId="5" xfId="11" applyNumberFormat="1" applyFont="1" applyFill="1" applyBorder="1"/>
    <xf numFmtId="170" fontId="11" fillId="0" borderId="0" xfId="11" applyNumberFormat="1" applyFont="1" applyBorder="1" applyAlignment="1">
      <alignment horizontal="right"/>
    </xf>
    <xf numFmtId="170" fontId="11" fillId="0" borderId="0" xfId="11" applyNumberFormat="1" applyFont="1" applyFill="1" applyBorder="1" applyAlignment="1">
      <alignment horizontal="right"/>
    </xf>
    <xf numFmtId="170" fontId="11" fillId="2" borderId="0" xfId="11" applyNumberFormat="1" applyFont="1" applyFill="1" applyBorder="1" applyAlignment="1"/>
    <xf numFmtId="170" fontId="11" fillId="2" borderId="0" xfId="11" applyNumberFormat="1" applyFont="1" applyFill="1" applyBorder="1" applyAlignment="1">
      <alignment horizontal="right"/>
    </xf>
    <xf numFmtId="170" fontId="11" fillId="0" borderId="4" xfId="11" applyNumberFormat="1" applyFont="1" applyBorder="1" applyAlignment="1">
      <alignment horizontal="right"/>
    </xf>
    <xf numFmtId="170" fontId="11" fillId="0" borderId="3" xfId="11" applyNumberFormat="1" applyFont="1" applyBorder="1" applyAlignment="1">
      <alignment horizontal="right"/>
    </xf>
    <xf numFmtId="170" fontId="11" fillId="3" borderId="4" xfId="11" applyNumberFormat="1" applyFont="1" applyFill="1" applyBorder="1" applyAlignment="1">
      <alignment horizontal="right"/>
    </xf>
    <xf numFmtId="170" fontId="11" fillId="2" borderId="4" xfId="11" applyNumberFormat="1" applyFont="1" applyFill="1" applyBorder="1" applyAlignment="1">
      <alignment horizontal="right"/>
    </xf>
    <xf numFmtId="170" fontId="11" fillId="0" borderId="0" xfId="0" applyNumberFormat="1" applyFont="1"/>
    <xf numFmtId="0" fontId="11" fillId="4" borderId="0" xfId="8" applyFont="1" applyFill="1"/>
    <xf numFmtId="10" fontId="11" fillId="4" borderId="0" xfId="9" applyFont="1" applyFill="1"/>
    <xf numFmtId="10" fontId="11" fillId="4" borderId="4" xfId="9" applyFont="1" applyFill="1" applyBorder="1"/>
    <xf numFmtId="10" fontId="11" fillId="4" borderId="5" xfId="9" applyFont="1" applyFill="1" applyBorder="1"/>
    <xf numFmtId="0" fontId="7" fillId="4" borderId="0" xfId="8" applyFill="1"/>
    <xf numFmtId="0" fontId="2" fillId="5" borderId="0" xfId="8" applyFont="1" applyFill="1" applyBorder="1" applyAlignment="1">
      <alignment horizontal="right"/>
    </xf>
    <xf numFmtId="0" fontId="10" fillId="5" borderId="0" xfId="8" applyFont="1" applyFill="1" applyBorder="1" applyAlignment="1">
      <alignment horizontal="right"/>
    </xf>
    <xf numFmtId="0" fontId="11" fillId="4" borderId="0" xfId="8" applyFont="1" applyFill="1" applyBorder="1" applyAlignment="1">
      <alignment horizontal="right"/>
    </xf>
    <xf numFmtId="3" fontId="11" fillId="5" borderId="0" xfId="8" applyNumberFormat="1" applyFont="1" applyFill="1" applyBorder="1" applyAlignment="1">
      <alignment horizontal="right"/>
    </xf>
    <xf numFmtId="171" fontId="11" fillId="4" borderId="0" xfId="9" applyNumberFormat="1" applyFont="1" applyFill="1"/>
    <xf numFmtId="171" fontId="13" fillId="2" borderId="0" xfId="0" applyNumberFormat="1" applyFont="1" applyFill="1"/>
    <xf numFmtId="171" fontId="0" fillId="2" borderId="0" xfId="0" applyNumberFormat="1" applyFill="1"/>
    <xf numFmtId="10" fontId="11" fillId="2" borderId="11" xfId="0" applyNumberFormat="1" applyFont="1" applyFill="1" applyBorder="1"/>
    <xf numFmtId="172" fontId="11" fillId="0" borderId="0" xfId="9" applyNumberFormat="1" applyFont="1" applyFill="1"/>
    <xf numFmtId="10" fontId="22" fillId="2" borderId="0" xfId="9" applyFont="1"/>
    <xf numFmtId="170" fontId="11" fillId="0" borderId="6" xfId="11" applyNumberFormat="1" applyFont="1" applyFill="1" applyBorder="1"/>
    <xf numFmtId="43" fontId="11" fillId="0" borderId="0" xfId="11" applyFont="1" applyFill="1"/>
    <xf numFmtId="43" fontId="2" fillId="0" borderId="0" xfId="11" applyFont="1" applyFill="1"/>
    <xf numFmtId="170" fontId="11" fillId="0" borderId="4" xfId="11" applyNumberFormat="1" applyFont="1" applyFill="1" applyBorder="1" applyAlignment="1">
      <alignment horizontal="right"/>
    </xf>
    <xf numFmtId="44" fontId="11" fillId="0" borderId="0" xfId="0" applyNumberFormat="1" applyFont="1"/>
    <xf numFmtId="43" fontId="11" fillId="0" borderId="0" xfId="11" applyFont="1" applyFill="1" applyBorder="1"/>
    <xf numFmtId="44" fontId="11" fillId="0" borderId="0" xfId="2" applyNumberFormat="1" applyFont="1" applyFill="1"/>
    <xf numFmtId="5" fontId="0" fillId="0" borderId="0" xfId="0" applyNumberFormat="1"/>
    <xf numFmtId="171" fontId="23" fillId="0" borderId="0" xfId="9" applyNumberFormat="1" applyFont="1" applyFill="1"/>
    <xf numFmtId="171" fontId="11" fillId="2" borderId="6" xfId="0" applyNumberFormat="1" applyFont="1" applyFill="1" applyBorder="1"/>
    <xf numFmtId="171" fontId="11" fillId="2" borderId="0" xfId="11" applyNumberFormat="1" applyFont="1" applyFill="1" applyBorder="1"/>
    <xf numFmtId="172" fontId="11" fillId="2" borderId="11" xfId="9" applyNumberFormat="1" applyFont="1" applyBorder="1"/>
    <xf numFmtId="171" fontId="0" fillId="0" borderId="0" xfId="0" applyNumberFormat="1"/>
    <xf numFmtId="171" fontId="11" fillId="2" borderId="2" xfId="0" applyNumberFormat="1" applyFont="1" applyFill="1" applyBorder="1"/>
    <xf numFmtId="171" fontId="11" fillId="2" borderId="4" xfId="0" applyNumberFormat="1" applyFont="1" applyFill="1" applyBorder="1"/>
    <xf numFmtId="171" fontId="11" fillId="2" borderId="7" xfId="0" applyNumberFormat="1" applyFont="1" applyFill="1" applyBorder="1"/>
    <xf numFmtId="10" fontId="11" fillId="0" borderId="0" xfId="9" applyFont="1" applyFill="1"/>
    <xf numFmtId="10" fontId="11" fillId="2" borderId="11" xfId="9" applyFont="1" applyBorder="1"/>
    <xf numFmtId="170" fontId="11" fillId="2" borderId="13" xfId="0" applyNumberFormat="1" applyFont="1" applyFill="1" applyBorder="1"/>
    <xf numFmtId="5" fontId="2" fillId="2" borderId="4" xfId="0" applyNumberFormat="1" applyFont="1" applyFill="1" applyBorder="1"/>
    <xf numFmtId="171" fontId="11" fillId="2" borderId="4" xfId="9" applyNumberFormat="1" applyFont="1" applyBorder="1"/>
    <xf numFmtId="171" fontId="2" fillId="2" borderId="4" xfId="9" applyNumberFormat="1" applyFont="1" applyBorder="1"/>
    <xf numFmtId="171" fontId="2" fillId="0" borderId="4" xfId="9" applyNumberFormat="1" applyFont="1" applyFill="1" applyBorder="1"/>
    <xf numFmtId="10" fontId="2" fillId="2" borderId="4" xfId="9" applyFont="1" applyBorder="1"/>
    <xf numFmtId="171" fontId="11" fillId="4" borderId="0" xfId="0" applyNumberFormat="1" applyFont="1" applyFill="1"/>
    <xf numFmtId="16" fontId="2" fillId="2" borderId="0" xfId="9" applyNumberFormat="1" applyFont="1" applyAlignment="1">
      <alignment horizontal="center"/>
    </xf>
    <xf numFmtId="169" fontId="0" fillId="2" borderId="0" xfId="11" applyNumberFormat="1" applyFont="1" applyFill="1" applyBorder="1"/>
    <xf numFmtId="169" fontId="0" fillId="2" borderId="0" xfId="0" applyNumberFormat="1" applyFill="1"/>
    <xf numFmtId="5" fontId="15" fillId="0" borderId="0" xfId="0" applyNumberFormat="1" applyFont="1"/>
    <xf numFmtId="5" fontId="3" fillId="0" borderId="0" xfId="0" applyNumberFormat="1" applyFont="1"/>
    <xf numFmtId="5" fontId="17" fillId="0" borderId="0" xfId="0" applyNumberFormat="1" applyFont="1"/>
    <xf numFmtId="5" fontId="25" fillId="2" borderId="0" xfId="0" applyNumberFormat="1" applyFont="1" applyFill="1"/>
    <xf numFmtId="171" fontId="7" fillId="2" borderId="0" xfId="9" applyNumberFormat="1" applyFont="1"/>
    <xf numFmtId="170" fontId="7" fillId="2" borderId="0" xfId="11" applyNumberFormat="1" applyFont="1" applyFill="1"/>
    <xf numFmtId="170" fontId="7" fillId="2" borderId="0" xfId="0" applyNumberFormat="1" applyFont="1" applyFill="1"/>
    <xf numFmtId="170" fontId="7" fillId="4" borderId="17" xfId="11" applyNumberFormat="1" applyFont="1" applyFill="1" applyBorder="1"/>
    <xf numFmtId="170" fontId="7" fillId="4" borderId="18" xfId="11" applyNumberFormat="1" applyFont="1" applyFill="1" applyBorder="1"/>
    <xf numFmtId="170" fontId="7" fillId="4" borderId="0" xfId="11" applyNumberFormat="1" applyFont="1" applyFill="1" applyBorder="1"/>
    <xf numFmtId="0" fontId="0" fillId="2" borderId="0" xfId="11" applyNumberFormat="1" applyFont="1" applyFill="1"/>
    <xf numFmtId="169" fontId="0" fillId="2" borderId="0" xfId="11" applyNumberFormat="1" applyFont="1" applyFill="1"/>
    <xf numFmtId="5" fontId="0" fillId="2" borderId="19" xfId="0" applyNumberFormat="1" applyFill="1" applyBorder="1"/>
    <xf numFmtId="5" fontId="13" fillId="2" borderId="20" xfId="0" applyNumberFormat="1" applyFont="1" applyFill="1" applyBorder="1"/>
    <xf numFmtId="0" fontId="13" fillId="2" borderId="21" xfId="11" applyNumberFormat="1" applyFont="1" applyFill="1" applyBorder="1" applyAlignment="1">
      <alignment horizontal="right"/>
    </xf>
    <xf numFmtId="5" fontId="0" fillId="2" borderId="22" xfId="0" applyNumberFormat="1" applyFill="1" applyBorder="1"/>
    <xf numFmtId="0" fontId="13" fillId="2" borderId="0" xfId="11" applyNumberFormat="1" applyFont="1" applyFill="1" applyBorder="1"/>
    <xf numFmtId="0" fontId="13" fillId="2" borderId="23" xfId="11" applyNumberFormat="1" applyFont="1" applyFill="1" applyBorder="1"/>
    <xf numFmtId="5" fontId="0" fillId="2" borderId="23" xfId="0" applyNumberFormat="1" applyFill="1" applyBorder="1"/>
    <xf numFmtId="170" fontId="0" fillId="2" borderId="0" xfId="11" applyNumberFormat="1" applyFont="1" applyFill="1" applyBorder="1"/>
    <xf numFmtId="170" fontId="0" fillId="2" borderId="23" xfId="11" applyNumberFormat="1" applyFont="1" applyFill="1" applyBorder="1"/>
    <xf numFmtId="169" fontId="0" fillId="0" borderId="23" xfId="11" applyNumberFormat="1" applyFont="1" applyBorder="1"/>
    <xf numFmtId="5" fontId="0" fillId="2" borderId="25" xfId="0" applyNumberFormat="1" applyFill="1" applyBorder="1"/>
    <xf numFmtId="5" fontId="0" fillId="2" borderId="26" xfId="0" applyNumberFormat="1" applyFill="1" applyBorder="1"/>
    <xf numFmtId="43" fontId="13" fillId="2" borderId="0" xfId="11" applyFont="1" applyFill="1" applyBorder="1"/>
    <xf numFmtId="43" fontId="13" fillId="2" borderId="23" xfId="11" applyFont="1" applyFill="1" applyBorder="1"/>
    <xf numFmtId="0" fontId="0" fillId="2" borderId="22" xfId="0" applyFill="1" applyBorder="1"/>
    <xf numFmtId="0" fontId="7" fillId="2" borderId="22" xfId="11" applyNumberFormat="1" applyFont="1" applyFill="1" applyBorder="1"/>
    <xf numFmtId="0" fontId="0" fillId="2" borderId="24" xfId="0" applyFill="1" applyBorder="1"/>
    <xf numFmtId="5" fontId="10" fillId="0" borderId="0" xfId="0" applyNumberFormat="1" applyFont="1" applyAlignment="1">
      <alignment horizontal="centerContinuous"/>
    </xf>
    <xf numFmtId="16" fontId="2" fillId="0" borderId="0" xfId="0" applyNumberFormat="1" applyFont="1" applyAlignment="1">
      <alignment horizontal="right"/>
    </xf>
    <xf numFmtId="5" fontId="11" fillId="0" borderId="0" xfId="0" applyNumberFormat="1" applyFont="1" applyAlignment="1">
      <alignment horizontal="centerContinuous"/>
    </xf>
    <xf numFmtId="170" fontId="11" fillId="0" borderId="0" xfId="11" applyNumberFormat="1" applyFont="1" applyFill="1" applyAlignment="1">
      <alignment horizontal="right"/>
    </xf>
    <xf numFmtId="170" fontId="18" fillId="0" borderId="0" xfId="11" applyNumberFormat="1" applyFont="1" applyFill="1"/>
    <xf numFmtId="10" fontId="6" fillId="0" borderId="0" xfId="9" applyFill="1"/>
    <xf numFmtId="16" fontId="10" fillId="0" borderId="0" xfId="0" applyNumberFormat="1" applyFont="1" applyAlignment="1">
      <alignment horizontal="right"/>
    </xf>
    <xf numFmtId="0" fontId="10" fillId="0" borderId="3" xfId="0" applyFont="1" applyBorder="1"/>
    <xf numFmtId="0" fontId="11" fillId="0" borderId="0" xfId="0" applyFont="1"/>
    <xf numFmtId="170" fontId="6" fillId="0" borderId="0" xfId="11" applyNumberFormat="1" applyFont="1" applyFill="1"/>
    <xf numFmtId="5" fontId="10" fillId="0" borderId="0" xfId="0" applyNumberFormat="1" applyFont="1"/>
    <xf numFmtId="10" fontId="3" fillId="0" borderId="0" xfId="9" applyFont="1" applyFill="1"/>
    <xf numFmtId="16" fontId="2" fillId="0" borderId="0" xfId="9" applyNumberFormat="1" applyFont="1" applyFill="1" applyAlignment="1">
      <alignment horizontal="center"/>
    </xf>
    <xf numFmtId="0" fontId="2" fillId="0" borderId="3" xfId="9" applyNumberFormat="1" applyFont="1" applyFill="1" applyBorder="1" applyAlignment="1">
      <alignment horizontal="center"/>
    </xf>
    <xf numFmtId="170" fontId="2" fillId="0" borderId="0" xfId="11" applyNumberFormat="1" applyFont="1" applyFill="1"/>
    <xf numFmtId="0" fontId="11" fillId="0" borderId="0" xfId="11" applyNumberFormat="1" applyFont="1" applyFill="1"/>
    <xf numFmtId="171" fontId="11" fillId="0" borderId="3" xfId="0" applyNumberFormat="1" applyFont="1" applyBorder="1"/>
    <xf numFmtId="171" fontId="11" fillId="5" borderId="0" xfId="9" applyNumberFormat="1" applyFont="1" applyFill="1"/>
    <xf numFmtId="10" fontId="2" fillId="2" borderId="0" xfId="9" applyFont="1"/>
    <xf numFmtId="10" fontId="2" fillId="0" borderId="0" xfId="9" applyFont="1" applyFill="1"/>
    <xf numFmtId="10" fontId="0" fillId="0" borderId="0" xfId="0" applyNumberFormat="1"/>
    <xf numFmtId="174" fontId="11" fillId="2" borderId="0" xfId="8" applyNumberFormat="1" applyFont="1" applyFill="1" applyBorder="1" applyAlignment="1">
      <alignment horizontal="right"/>
    </xf>
    <xf numFmtId="175" fontId="11" fillId="0" borderId="0" xfId="11" applyNumberFormat="1" applyFont="1" applyFill="1" applyBorder="1"/>
    <xf numFmtId="43" fontId="15" fillId="2" borderId="0" xfId="11" applyFont="1" applyFill="1"/>
    <xf numFmtId="170" fontId="11" fillId="6" borderId="0" xfId="11" applyNumberFormat="1" applyFont="1" applyFill="1" applyBorder="1"/>
    <xf numFmtId="170" fontId="11" fillId="6" borderId="3" xfId="11" applyNumberFormat="1" applyFont="1" applyFill="1" applyBorder="1"/>
    <xf numFmtId="170" fontId="11" fillId="0" borderId="3" xfId="11" applyNumberFormat="1" applyFont="1" applyFill="1" applyBorder="1" applyAlignment="1">
      <alignment horizontal="right"/>
    </xf>
    <xf numFmtId="5" fontId="11" fillId="0" borderId="0" xfId="0" quotePrefix="1" applyNumberFormat="1" applyFont="1" applyAlignment="1">
      <alignment horizontal="left"/>
    </xf>
    <xf numFmtId="5" fontId="11" fillId="2" borderId="3" xfId="0" applyNumberFormat="1" applyFont="1" applyFill="1" applyBorder="1"/>
    <xf numFmtId="5" fontId="11" fillId="0" borderId="3" xfId="0" applyNumberFormat="1" applyFont="1" applyBorder="1"/>
    <xf numFmtId="170" fontId="11" fillId="7" borderId="0" xfId="11" applyNumberFormat="1" applyFont="1" applyFill="1"/>
    <xf numFmtId="5" fontId="2" fillId="2" borderId="0" xfId="0" applyNumberFormat="1" applyFont="1" applyFill="1" applyAlignment="1">
      <alignment horizontal="center"/>
    </xf>
    <xf numFmtId="5" fontId="10" fillId="2" borderId="0" xfId="0" applyNumberFormat="1" applyFont="1" applyFill="1" applyAlignment="1">
      <alignment horizontal="center"/>
    </xf>
    <xf numFmtId="168" fontId="10" fillId="2" borderId="0" xfId="0" applyNumberFormat="1" applyFont="1" applyFill="1" applyAlignment="1">
      <alignment horizontal="center"/>
    </xf>
    <xf numFmtId="5" fontId="12" fillId="2" borderId="0" xfId="0" applyNumberFormat="1" applyFont="1" applyFill="1" applyAlignment="1">
      <alignment horizontal="center"/>
    </xf>
    <xf numFmtId="168" fontId="2" fillId="2" borderId="0" xfId="0" applyNumberFormat="1" applyFont="1" applyFill="1" applyAlignment="1">
      <alignment horizontal="center"/>
    </xf>
    <xf numFmtId="5" fontId="24" fillId="2" borderId="14" xfId="0" applyNumberFormat="1" applyFont="1" applyFill="1" applyBorder="1" applyAlignment="1">
      <alignment horizontal="center"/>
    </xf>
    <xf numFmtId="5" fontId="24" fillId="2" borderId="15" xfId="0" applyNumberFormat="1" applyFont="1" applyFill="1" applyBorder="1" applyAlignment="1">
      <alignment horizontal="center"/>
    </xf>
    <xf numFmtId="5" fontId="24" fillId="2" borderId="16" xfId="0" applyNumberFormat="1" applyFont="1" applyFill="1" applyBorder="1" applyAlignment="1">
      <alignment horizontal="center"/>
    </xf>
    <xf numFmtId="37" fontId="10" fillId="0" borderId="0" xfId="8" applyNumberFormat="1" applyFont="1" applyBorder="1" applyAlignment="1">
      <alignment horizontal="center"/>
    </xf>
    <xf numFmtId="5" fontId="12" fillId="2" borderId="0" xfId="8" applyNumberFormat="1" applyFont="1" applyFill="1" applyAlignment="1">
      <alignment horizontal="center"/>
    </xf>
    <xf numFmtId="0" fontId="10" fillId="2" borderId="0" xfId="8" applyFont="1" applyFill="1" applyAlignment="1">
      <alignment horizontal="center"/>
    </xf>
  </cellXfs>
  <cellStyles count="12">
    <cellStyle name="Comma" xfId="11" builtinId="3"/>
    <cellStyle name="Comma0" xfId="1" xr:uid="{00000000-0005-0000-0000-000001000000}"/>
    <cellStyle name="Currency" xfId="2" builtinId="4"/>
    <cellStyle name="Currency0" xfId="3" xr:uid="{00000000-0005-0000-0000-000003000000}"/>
    <cellStyle name="Date" xfId="4" xr:uid="{00000000-0005-0000-0000-000004000000}"/>
    <cellStyle name="Fixed" xfId="5" xr:uid="{00000000-0005-0000-0000-000005000000}"/>
    <cellStyle name="Heading 1" xfId="6" builtinId="16" customBuiltin="1"/>
    <cellStyle name="Heading 2" xfId="7" builtinId="17" customBuiltin="1"/>
    <cellStyle name="Normal" xfId="0" builtinId="0"/>
    <cellStyle name="Normal_Financial Cash flow" xfId="8" xr:uid="{00000000-0005-0000-0000-000009000000}"/>
    <cellStyle name="Percent" xfId="9" builtinId="5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277"/>
  <sheetViews>
    <sheetView showGridLines="0" tabSelected="1" view="pageBreakPreview" zoomScale="110" zoomScaleNormal="100" zoomScaleSheetLayoutView="110" workbookViewId="0">
      <selection activeCell="A130" sqref="A130:S130"/>
    </sheetView>
  </sheetViews>
  <sheetFormatPr defaultColWidth="13.7109375" defaultRowHeight="12.75" x14ac:dyDescent="0.2"/>
  <cols>
    <col min="1" max="1" width="37.28515625" customWidth="1"/>
    <col min="2" max="2" width="11.7109375" hidden="1" customWidth="1"/>
    <col min="3" max="10" width="10.7109375" hidden="1" customWidth="1"/>
    <col min="11" max="12" width="10.7109375" style="229" hidden="1" customWidth="1"/>
    <col min="13" max="17" width="10.7109375" style="229" customWidth="1"/>
    <col min="18" max="18" width="10.7109375" customWidth="1"/>
    <col min="19" max="19" width="11.28515625" style="1" customWidth="1"/>
    <col min="20" max="20" width="36.7109375" hidden="1" customWidth="1"/>
    <col min="21" max="47" width="10.7109375" hidden="1" customWidth="1"/>
    <col min="48" max="48" width="11.42578125" hidden="1" customWidth="1"/>
    <col min="49" max="50" width="12.7109375" hidden="1" customWidth="1"/>
    <col min="51" max="59" width="0" hidden="1" customWidth="1"/>
  </cols>
  <sheetData>
    <row r="1" spans="1:49" ht="15.75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250"/>
      <c r="L1" s="250"/>
      <c r="M1" s="250"/>
      <c r="N1" s="250"/>
      <c r="O1" s="250"/>
      <c r="P1" s="250"/>
      <c r="Q1" s="250"/>
      <c r="R1" s="86"/>
      <c r="S1" s="73" t="s">
        <v>109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73" t="s">
        <v>109</v>
      </c>
      <c r="AW1" s="13"/>
    </row>
    <row r="2" spans="1:49" ht="15.75" x14ac:dyDescent="0.25">
      <c r="A2" s="302"/>
      <c r="B2" s="86"/>
      <c r="C2" s="86"/>
      <c r="D2" s="86"/>
      <c r="E2" s="86"/>
      <c r="F2" s="86"/>
      <c r="G2" s="86"/>
      <c r="H2" s="86"/>
      <c r="I2" s="86"/>
      <c r="J2" s="86"/>
      <c r="K2" s="250"/>
      <c r="L2" s="250"/>
      <c r="M2" s="250"/>
      <c r="N2" s="250"/>
      <c r="O2" s="250"/>
      <c r="P2" s="250"/>
      <c r="Q2" s="250"/>
      <c r="R2" s="86"/>
      <c r="S2" s="108" t="s">
        <v>270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108" t="s">
        <v>231</v>
      </c>
      <c r="AW2" s="2"/>
    </row>
    <row r="3" spans="1:49" ht="20.25" x14ac:dyDescent="0.3">
      <c r="A3" s="313" t="s">
        <v>281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 t="str">
        <f>A3</f>
        <v>Questar Gas Company dba Enbridge Gas Utah</v>
      </c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2"/>
    </row>
    <row r="4" spans="1:49" ht="15.75" x14ac:dyDescent="0.25">
      <c r="A4" s="311" t="s">
        <v>45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 t="s">
        <v>44</v>
      </c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2"/>
    </row>
    <row r="5" spans="1:49" ht="15.75" x14ac:dyDescent="0.25">
      <c r="A5" s="312" t="s">
        <v>106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1" t="s">
        <v>45</v>
      </c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2"/>
    </row>
    <row r="6" spans="1:49" ht="15.75" x14ac:dyDescent="0.25">
      <c r="A6" s="192" t="s">
        <v>235</v>
      </c>
      <c r="B6" s="54"/>
      <c r="C6" s="54"/>
      <c r="D6" s="54"/>
      <c r="E6" s="54"/>
      <c r="F6" s="54"/>
      <c r="G6" s="54"/>
      <c r="H6" s="54"/>
      <c r="I6" s="54"/>
      <c r="J6" s="54"/>
      <c r="K6" s="279"/>
      <c r="L6" s="279"/>
      <c r="M6" s="279"/>
      <c r="N6" s="279"/>
      <c r="O6" s="279"/>
      <c r="P6" s="279"/>
      <c r="Q6" s="279"/>
      <c r="R6" s="54"/>
      <c r="S6" s="179" t="s">
        <v>212</v>
      </c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70"/>
      <c r="AW6" s="2"/>
    </row>
    <row r="7" spans="1:49" ht="15.75" x14ac:dyDescent="0.25">
      <c r="A7" s="69"/>
      <c r="B7" s="99"/>
      <c r="C7" s="99"/>
      <c r="D7" s="99"/>
      <c r="E7" s="99"/>
      <c r="F7" s="99"/>
      <c r="G7" s="99"/>
      <c r="H7" s="99"/>
      <c r="I7" s="99"/>
      <c r="J7" s="99"/>
      <c r="K7" s="280"/>
      <c r="L7" s="280"/>
      <c r="M7" s="280"/>
      <c r="N7" s="280"/>
      <c r="O7" s="280"/>
      <c r="P7" s="280"/>
      <c r="Q7" s="280"/>
      <c r="R7" s="99" t="s">
        <v>269</v>
      </c>
      <c r="S7" s="180" t="s">
        <v>213</v>
      </c>
      <c r="T7" s="69"/>
      <c r="U7" s="69"/>
      <c r="V7" s="69"/>
      <c r="W7" s="69"/>
      <c r="X7" s="69"/>
      <c r="Y7" s="69"/>
      <c r="Z7" s="69"/>
      <c r="AA7" s="71"/>
      <c r="AB7" s="71"/>
      <c r="AC7" s="71"/>
      <c r="AD7" s="74"/>
      <c r="AE7" s="74"/>
      <c r="AF7" s="72"/>
      <c r="AG7" s="72"/>
      <c r="AH7" s="13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 t="str">
        <f>+R7</f>
        <v>3rd Qrtr</v>
      </c>
      <c r="AV7" s="85" t="s">
        <v>286</v>
      </c>
      <c r="AW7" s="2"/>
    </row>
    <row r="8" spans="1:49" ht="15.75" x14ac:dyDescent="0.25">
      <c r="A8" s="75" t="s">
        <v>0</v>
      </c>
      <c r="B8" s="75">
        <v>2009</v>
      </c>
      <c r="C8" s="75">
        <f>B8+1</f>
        <v>2010</v>
      </c>
      <c r="D8" s="75">
        <f>C8+1</f>
        <v>2011</v>
      </c>
      <c r="E8" s="75">
        <f>D8+1</f>
        <v>2012</v>
      </c>
      <c r="F8" s="75">
        <f>E8+1</f>
        <v>2013</v>
      </c>
      <c r="G8" s="75">
        <f t="shared" ref="G8:L8" si="0">+F8+1</f>
        <v>2014</v>
      </c>
      <c r="H8" s="75">
        <f t="shared" si="0"/>
        <v>2015</v>
      </c>
      <c r="I8" s="75">
        <f t="shared" si="0"/>
        <v>2016</v>
      </c>
      <c r="J8" s="75">
        <f t="shared" si="0"/>
        <v>2017</v>
      </c>
      <c r="K8" s="75">
        <f t="shared" si="0"/>
        <v>2018</v>
      </c>
      <c r="L8" s="75">
        <f t="shared" si="0"/>
        <v>2019</v>
      </c>
      <c r="M8" s="75">
        <f t="shared" ref="M8" si="1">+L8+1</f>
        <v>2020</v>
      </c>
      <c r="N8" s="75">
        <f t="shared" ref="N8" si="2">+M8+1</f>
        <v>2021</v>
      </c>
      <c r="O8" s="75">
        <f t="shared" ref="O8" si="3">+N8+1</f>
        <v>2022</v>
      </c>
      <c r="P8" s="75">
        <f t="shared" ref="P8:Q8" si="4">+O8+1</f>
        <v>2023</v>
      </c>
      <c r="Q8" s="75">
        <f t="shared" si="4"/>
        <v>2024</v>
      </c>
      <c r="R8" s="75">
        <f>+Q8+1</f>
        <v>2025</v>
      </c>
      <c r="S8" s="181" t="s">
        <v>23</v>
      </c>
      <c r="T8" s="76" t="s">
        <v>0</v>
      </c>
      <c r="U8" s="75" t="e">
        <f>#REF!</f>
        <v>#REF!</v>
      </c>
      <c r="V8" s="75" t="e">
        <f t="shared" ref="V8:AC8" si="5">U8+1</f>
        <v>#REF!</v>
      </c>
      <c r="W8" s="75" t="e">
        <f t="shared" si="5"/>
        <v>#REF!</v>
      </c>
      <c r="X8" s="75" t="e">
        <f t="shared" si="5"/>
        <v>#REF!</v>
      </c>
      <c r="Y8" s="75" t="e">
        <f t="shared" si="5"/>
        <v>#REF!</v>
      </c>
      <c r="Z8" s="75" t="e">
        <f t="shared" si="5"/>
        <v>#REF!</v>
      </c>
      <c r="AA8" s="75" t="e">
        <f t="shared" si="5"/>
        <v>#REF!</v>
      </c>
      <c r="AB8" s="75" t="e">
        <f t="shared" si="5"/>
        <v>#REF!</v>
      </c>
      <c r="AC8" s="75" t="e">
        <f t="shared" si="5"/>
        <v>#REF!</v>
      </c>
      <c r="AD8" s="75" t="e">
        <f>AC8+1</f>
        <v>#REF!</v>
      </c>
      <c r="AE8" s="75">
        <f t="shared" ref="AE8:AQ8" si="6">+B8</f>
        <v>2009</v>
      </c>
      <c r="AF8" s="75">
        <f t="shared" si="6"/>
        <v>2010</v>
      </c>
      <c r="AG8" s="75">
        <f t="shared" si="6"/>
        <v>2011</v>
      </c>
      <c r="AH8" s="133">
        <f t="shared" si="6"/>
        <v>2012</v>
      </c>
      <c r="AI8" s="133">
        <f t="shared" si="6"/>
        <v>2013</v>
      </c>
      <c r="AJ8" s="133">
        <f t="shared" si="6"/>
        <v>2014</v>
      </c>
      <c r="AK8" s="133">
        <f t="shared" si="6"/>
        <v>2015</v>
      </c>
      <c r="AL8" s="133">
        <f t="shared" si="6"/>
        <v>2016</v>
      </c>
      <c r="AM8" s="133">
        <f t="shared" si="6"/>
        <v>2017</v>
      </c>
      <c r="AN8" s="133">
        <f t="shared" si="6"/>
        <v>2018</v>
      </c>
      <c r="AO8" s="133">
        <f t="shared" si="6"/>
        <v>2019</v>
      </c>
      <c r="AP8" s="133">
        <f t="shared" si="6"/>
        <v>2020</v>
      </c>
      <c r="AQ8" s="133">
        <f t="shared" si="6"/>
        <v>2021</v>
      </c>
      <c r="AR8" s="133">
        <f t="shared" ref="AR8" si="7">+O8</f>
        <v>2022</v>
      </c>
      <c r="AS8" s="133">
        <f t="shared" ref="AS8" si="8">+P8</f>
        <v>2023</v>
      </c>
      <c r="AT8" s="133">
        <f t="shared" ref="AT8" si="9">+Q8</f>
        <v>2024</v>
      </c>
      <c r="AU8" s="133">
        <f>+R8</f>
        <v>2025</v>
      </c>
      <c r="AV8" s="83" t="s">
        <v>43</v>
      </c>
      <c r="AW8" s="2"/>
    </row>
    <row r="9" spans="1:49" ht="14.25" customHeight="1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281"/>
      <c r="L9" s="281"/>
      <c r="M9" s="281"/>
      <c r="N9" s="281"/>
      <c r="O9" s="281"/>
      <c r="P9" s="281"/>
      <c r="Q9" s="281"/>
      <c r="R9" s="57"/>
      <c r="S9" s="58"/>
      <c r="T9" s="59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1"/>
      <c r="AW9" s="2"/>
    </row>
    <row r="10" spans="1:49" ht="15.75" x14ac:dyDescent="0.25">
      <c r="A10" s="81" t="s">
        <v>6</v>
      </c>
      <c r="B10" s="59"/>
      <c r="C10" s="59"/>
      <c r="D10" s="59"/>
      <c r="E10" s="59"/>
      <c r="F10" s="59"/>
      <c r="G10" s="59"/>
      <c r="H10" s="59"/>
      <c r="I10" s="59"/>
      <c r="J10" s="59"/>
      <c r="K10" s="77"/>
      <c r="L10" s="77"/>
      <c r="M10" s="77"/>
      <c r="N10" s="77"/>
      <c r="O10" s="77"/>
      <c r="P10" s="77"/>
      <c r="Q10" s="77"/>
      <c r="R10" s="59"/>
      <c r="S10" s="33"/>
      <c r="T10" s="81" t="s">
        <v>6</v>
      </c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33"/>
      <c r="AW10" s="2"/>
    </row>
    <row r="11" spans="1:49" ht="15" x14ac:dyDescent="0.2">
      <c r="A11" s="59" t="s">
        <v>3</v>
      </c>
      <c r="B11" s="155">
        <v>7.2</v>
      </c>
      <c r="C11" s="155">
        <v>4.7</v>
      </c>
      <c r="D11" s="155">
        <v>5</v>
      </c>
      <c r="E11" s="155">
        <v>1.4</v>
      </c>
      <c r="F11" s="155">
        <v>8.8000000000000007</v>
      </c>
      <c r="G11" s="155">
        <v>19.8</v>
      </c>
      <c r="H11" s="155">
        <v>10.5</v>
      </c>
      <c r="I11" s="155">
        <v>7.6</v>
      </c>
      <c r="J11" s="155">
        <v>6.7</v>
      </c>
      <c r="K11" s="171">
        <v>6.6</v>
      </c>
      <c r="L11" s="171">
        <v>9.1</v>
      </c>
      <c r="M11" s="171">
        <v>7.5</v>
      </c>
      <c r="N11" s="171">
        <v>4.0999999999999996</v>
      </c>
      <c r="O11" s="171">
        <v>14.4</v>
      </c>
      <c r="P11" s="171">
        <v>18.600000000000001</v>
      </c>
      <c r="Q11" s="171">
        <v>119.2</v>
      </c>
      <c r="R11" s="155">
        <v>11.2</v>
      </c>
      <c r="S11" s="113">
        <f>RATE(5,,-M11,Q11)</f>
        <v>0.7387734429632008</v>
      </c>
      <c r="T11" s="59" t="str">
        <f>A11</f>
        <v>Cash &amp; Equivalents</v>
      </c>
      <c r="U11" s="33" t="e">
        <f>#REF!/#REF!</f>
        <v>#REF!</v>
      </c>
      <c r="V11" s="33" t="e">
        <f>#REF!/#REF!</f>
        <v>#REF!</v>
      </c>
      <c r="W11" s="33" t="e">
        <f>#REF!/#REF!</f>
        <v>#REF!</v>
      </c>
      <c r="X11" s="33" t="e">
        <f>#REF!/#REF!</f>
        <v>#REF!</v>
      </c>
      <c r="Y11" s="33" t="e">
        <f>#REF!/#REF!</f>
        <v>#REF!</v>
      </c>
      <c r="Z11" s="33" t="e">
        <f>#REF!/#REF!</f>
        <v>#REF!</v>
      </c>
      <c r="AA11" s="33" t="e">
        <f>#REF!/#REF!</f>
        <v>#REF!</v>
      </c>
      <c r="AB11" s="33" t="e">
        <f>#REF!/#REF!</f>
        <v>#REF!</v>
      </c>
      <c r="AC11" s="33" t="e">
        <f>#REF!/#REF!</f>
        <v>#REF!</v>
      </c>
      <c r="AD11" s="33" t="e">
        <f>#REF!/#REF!</f>
        <v>#REF!</v>
      </c>
      <c r="AE11" s="33">
        <f t="shared" ref="AE11:AP11" si="10">B11/B$44</f>
        <v>5.3767455753864542E-3</v>
      </c>
      <c r="AF11" s="33">
        <f t="shared" si="10"/>
        <v>3.3302628781974068E-3</v>
      </c>
      <c r="AG11" s="113">
        <f t="shared" si="10"/>
        <v>3.4537542308489327E-3</v>
      </c>
      <c r="AH11" s="113">
        <f t="shared" si="10"/>
        <v>8.6137943764228147E-4</v>
      </c>
      <c r="AI11" s="113">
        <f t="shared" si="10"/>
        <v>4.9096183887525104E-3</v>
      </c>
      <c r="AJ11" s="113">
        <f t="shared" si="10"/>
        <v>1.0055865921787709E-2</v>
      </c>
      <c r="AK11" s="113">
        <f t="shared" si="10"/>
        <v>4.7814207650273216E-3</v>
      </c>
      <c r="AL11" s="113">
        <f t="shared" si="10"/>
        <v>3.0321164971075201E-3</v>
      </c>
      <c r="AM11" s="113">
        <f t="shared" si="10"/>
        <v>2.4835050782118766E-3</v>
      </c>
      <c r="AN11" s="113">
        <f t="shared" si="10"/>
        <v>2.344166222695791E-3</v>
      </c>
      <c r="AO11" s="113">
        <f t="shared" si="10"/>
        <v>3.0117391635308172E-3</v>
      </c>
      <c r="AP11" s="113">
        <f t="shared" si="10"/>
        <v>2.2878408882923552E-3</v>
      </c>
      <c r="AQ11" s="113">
        <f>N11/N$44</f>
        <v>1.1355767899182937E-3</v>
      </c>
      <c r="AR11" s="113">
        <f t="shared" ref="AR11:AT11" si="11">O11/O$44</f>
        <v>3.3431616093608516E-3</v>
      </c>
      <c r="AS11" s="113">
        <f t="shared" si="11"/>
        <v>4.1320478073488265E-3</v>
      </c>
      <c r="AT11" s="113">
        <f t="shared" si="11"/>
        <v>2.7494579508234536E-2</v>
      </c>
      <c r="AU11" s="113">
        <f>K11/K$44</f>
        <v>2.344166222695791E-3</v>
      </c>
      <c r="AV11" s="113">
        <f>SUM(M11:Q11)/SUM(M$44:Q$44)</f>
        <v>8.1765903917575163E-3</v>
      </c>
      <c r="AW11" s="102"/>
    </row>
    <row r="12" spans="1:49" ht="15" hidden="1" x14ac:dyDescent="0.2">
      <c r="A12" s="59" t="s">
        <v>199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71"/>
      <c r="L12" s="171"/>
      <c r="M12" s="171"/>
      <c r="N12" s="171"/>
      <c r="O12" s="171"/>
      <c r="P12" s="171"/>
      <c r="Q12" s="171"/>
      <c r="R12" s="155"/>
      <c r="S12" s="113"/>
      <c r="T12" s="59" t="str">
        <f>+A12</f>
        <v>Notes Receivable from Questar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02"/>
    </row>
    <row r="13" spans="1:49" ht="15" x14ac:dyDescent="0.2">
      <c r="A13" s="62" t="s">
        <v>104</v>
      </c>
      <c r="B13" s="155">
        <v>77</v>
      </c>
      <c r="C13" s="155">
        <v>85.3</v>
      </c>
      <c r="D13" s="155">
        <v>76.099999999999994</v>
      </c>
      <c r="E13" s="155">
        <v>67</v>
      </c>
      <c r="F13" s="155">
        <v>86.1</v>
      </c>
      <c r="G13" s="155">
        <v>66.400000000000006</v>
      </c>
      <c r="H13" s="155">
        <v>77.8</v>
      </c>
      <c r="I13" s="155">
        <v>163.69999999999999</v>
      </c>
      <c r="J13" s="155">
        <v>173.8</v>
      </c>
      <c r="K13" s="171">
        <f>145.7+4.9</f>
        <v>150.6</v>
      </c>
      <c r="L13" s="171">
        <f>158.5+6.4</f>
        <v>164.9</v>
      </c>
      <c r="M13" s="171">
        <f>180.1+4</f>
        <v>184.1</v>
      </c>
      <c r="N13" s="171">
        <f>192.8+4.2</f>
        <v>197</v>
      </c>
      <c r="O13" s="171">
        <f>276.3</f>
        <v>276.3</v>
      </c>
      <c r="P13" s="171">
        <v>301.10000000000002</v>
      </c>
      <c r="Q13" s="171">
        <v>201.5</v>
      </c>
      <c r="R13" s="155">
        <v>45.8</v>
      </c>
      <c r="S13" s="113">
        <f t="shared" ref="S13" si="12">RATE(5,,-M13,Q13)</f>
        <v>1.8226164149410605E-2</v>
      </c>
      <c r="T13" s="59" t="str">
        <f>A13</f>
        <v>Accounts Receivable, net</v>
      </c>
      <c r="U13" s="33" t="e">
        <f>#REF!/#REF!</f>
        <v>#REF!</v>
      </c>
      <c r="V13" s="33" t="e">
        <f>#REF!/#REF!</f>
        <v>#REF!</v>
      </c>
      <c r="W13" s="33" t="e">
        <f>#REF!/#REF!</f>
        <v>#REF!</v>
      </c>
      <c r="X13" s="33" t="e">
        <f>#REF!/#REF!</f>
        <v>#REF!</v>
      </c>
      <c r="Y13" s="33" t="e">
        <f>#REF!/#REF!</f>
        <v>#REF!</v>
      </c>
      <c r="Z13" s="33" t="e">
        <f>#REF!/#REF!</f>
        <v>#REF!</v>
      </c>
      <c r="AA13" s="33" t="e">
        <f>#REF!/#REF!</f>
        <v>#REF!</v>
      </c>
      <c r="AB13" s="33" t="e">
        <f>#REF!/#REF!</f>
        <v>#REF!</v>
      </c>
      <c r="AC13" s="33" t="e">
        <f>#REF!/#REF!</f>
        <v>#REF!</v>
      </c>
      <c r="AD13" s="33" t="e">
        <f>#REF!/#REF!</f>
        <v>#REF!</v>
      </c>
      <c r="AE13" s="33">
        <f t="shared" ref="AE13:AQ13" si="13">B13/B$44</f>
        <v>5.7501306847882912E-2</v>
      </c>
      <c r="AF13" s="33">
        <f t="shared" si="13"/>
        <v>6.0440728406433782E-2</v>
      </c>
      <c r="AG13" s="113">
        <f t="shared" si="13"/>
        <v>5.2566139393520749E-2</v>
      </c>
      <c r="AH13" s="113">
        <f t="shared" si="13"/>
        <v>4.1223158801452046E-2</v>
      </c>
      <c r="AI13" s="113">
        <f t="shared" si="13"/>
        <v>4.8036152644498988E-2</v>
      </c>
      <c r="AJ13" s="113">
        <f t="shared" si="13"/>
        <v>3.372270187912646E-2</v>
      </c>
      <c r="AK13" s="113">
        <f t="shared" si="13"/>
        <v>3.5428051001821483E-2</v>
      </c>
      <c r="AL13" s="113">
        <f t="shared" si="13"/>
        <v>6.5310193496908031E-2</v>
      </c>
      <c r="AM13" s="113">
        <f t="shared" si="13"/>
        <v>6.4422863073615555E-2</v>
      </c>
      <c r="AN13" s="113">
        <f t="shared" si="13"/>
        <v>5.3489611081513053E-2</v>
      </c>
      <c r="AO13" s="113">
        <f t="shared" si="13"/>
        <v>5.4575361325959533E-2</v>
      </c>
      <c r="AP13" s="113">
        <f t="shared" si="13"/>
        <v>5.6158867671283016E-2</v>
      </c>
      <c r="AQ13" s="113">
        <f t="shared" si="13"/>
        <v>5.456307990583021E-2</v>
      </c>
      <c r="AR13" s="113">
        <f t="shared" ref="AR13" si="14">O13/O$44</f>
        <v>6.4146913379611342E-2</v>
      </c>
      <c r="AS13" s="113">
        <f t="shared" ref="AS13" si="15">P13/P$44</f>
        <v>6.6890300795308152E-2</v>
      </c>
      <c r="AT13" s="113">
        <f t="shared" ref="AT13" si="16">Q13/Q$44</f>
        <v>4.6477833648567612E-2</v>
      </c>
      <c r="AU13" s="113">
        <f>R13/R$44</f>
        <v>1.0770641770336053E-2</v>
      </c>
      <c r="AV13" s="113">
        <f t="shared" ref="AV13:AV24" si="17">SUM(M13:Q13)/SUM(M$44:Q$44)</f>
        <v>5.7905035741384121E-2</v>
      </c>
      <c r="AW13" s="2"/>
    </row>
    <row r="14" spans="1:49" ht="15" x14ac:dyDescent="0.2">
      <c r="A14" s="62" t="s">
        <v>276</v>
      </c>
      <c r="B14" s="155">
        <v>86.6</v>
      </c>
      <c r="C14" s="155">
        <v>81.5</v>
      </c>
      <c r="D14" s="155">
        <v>75.2</v>
      </c>
      <c r="E14" s="155">
        <v>78.2</v>
      </c>
      <c r="F14" s="155">
        <v>93.4</v>
      </c>
      <c r="G14" s="155">
        <v>93.7</v>
      </c>
      <c r="H14" s="155">
        <v>91</v>
      </c>
      <c r="I14" s="155"/>
      <c r="J14" s="155"/>
      <c r="K14" s="171"/>
      <c r="L14" s="171"/>
      <c r="M14" s="171"/>
      <c r="N14" s="171"/>
      <c r="O14" s="171">
        <v>7.1</v>
      </c>
      <c r="P14" s="171">
        <v>8</v>
      </c>
      <c r="Q14" s="171">
        <v>13.1</v>
      </c>
      <c r="R14" s="155">
        <v>10.8</v>
      </c>
      <c r="S14" s="113"/>
      <c r="T14" s="59" t="str">
        <f>A14</f>
        <v>Other Accounts Receivable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>
        <f t="shared" ref="AF14:AK16" si="18">C14/C$44</f>
        <v>5.774817544108269E-2</v>
      </c>
      <c r="AG14" s="113">
        <f t="shared" si="18"/>
        <v>5.1944463631967946E-2</v>
      </c>
      <c r="AH14" s="113">
        <f t="shared" si="18"/>
        <v>4.8114194302590299E-2</v>
      </c>
      <c r="AI14" s="113">
        <f t="shared" si="18"/>
        <v>5.210890426244142E-2</v>
      </c>
      <c r="AJ14" s="113">
        <f t="shared" si="18"/>
        <v>4.7587607922803449E-2</v>
      </c>
      <c r="AK14" s="113">
        <f t="shared" si="18"/>
        <v>4.143897996357012E-2</v>
      </c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>
        <f t="shared" si="17"/>
        <v>1.4076913861267519E-3</v>
      </c>
      <c r="AW14" s="2"/>
    </row>
    <row r="15" spans="1:49" ht="15" x14ac:dyDescent="0.2">
      <c r="A15" s="62" t="s">
        <v>233</v>
      </c>
      <c r="B15" s="155">
        <v>3.3</v>
      </c>
      <c r="C15" s="155">
        <v>4.5</v>
      </c>
      <c r="D15" s="155">
        <v>1.8</v>
      </c>
      <c r="E15" s="155">
        <v>31.8</v>
      </c>
      <c r="F15" s="155">
        <v>30.4</v>
      </c>
      <c r="G15" s="155">
        <v>45.2</v>
      </c>
      <c r="H15" s="155">
        <v>69.2</v>
      </c>
      <c r="I15" s="155">
        <f>0.6</f>
        <v>0.6</v>
      </c>
      <c r="J15" s="155">
        <v>1.5</v>
      </c>
      <c r="K15" s="171">
        <v>0.1</v>
      </c>
      <c r="L15" s="171">
        <v>0.1</v>
      </c>
      <c r="M15" s="171">
        <v>0.1</v>
      </c>
      <c r="N15" s="171"/>
      <c r="O15" s="171">
        <v>30.4</v>
      </c>
      <c r="P15" s="171"/>
      <c r="Q15" s="171"/>
      <c r="R15" s="155"/>
      <c r="S15" s="113"/>
      <c r="T15" s="59" t="str">
        <f>A15</f>
        <v>Accounts Receivable from Affiliates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>
        <f t="shared" si="18"/>
        <v>3.1885495642315596E-3</v>
      </c>
      <c r="AG15" s="113">
        <f t="shared" si="18"/>
        <v>1.2433515231056159E-3</v>
      </c>
      <c r="AH15" s="113">
        <f t="shared" si="18"/>
        <v>1.956561865501754E-2</v>
      </c>
      <c r="AI15" s="113">
        <f t="shared" si="18"/>
        <v>1.6960499888417763E-2</v>
      </c>
      <c r="AJ15" s="113">
        <f t="shared" si="18"/>
        <v>2.2955815134586083E-2</v>
      </c>
      <c r="AK15" s="113">
        <f t="shared" si="18"/>
        <v>3.1511839708561015E-2</v>
      </c>
      <c r="AL15" s="113">
        <f t="shared" ref="AL15:AQ16" si="19">I15/I$44</f>
        <v>2.3937761819269897E-4</v>
      </c>
      <c r="AM15" s="113">
        <f t="shared" si="19"/>
        <v>5.5600859959967382E-4</v>
      </c>
      <c r="AN15" s="113">
        <f t="shared" si="19"/>
        <v>3.5517670040845323E-5</v>
      </c>
      <c r="AO15" s="113">
        <f t="shared" si="19"/>
        <v>3.3096034764074916E-5</v>
      </c>
      <c r="AP15" s="113">
        <f t="shared" si="19"/>
        <v>3.0504545177231407E-5</v>
      </c>
      <c r="AQ15" s="113">
        <f t="shared" si="19"/>
        <v>0</v>
      </c>
      <c r="AR15" s="113">
        <f t="shared" ref="AR15:AR16" si="20">O15/O$44</f>
        <v>7.0577856197617979E-3</v>
      </c>
      <c r="AS15" s="113">
        <f t="shared" ref="AS15:AS16" si="21">P15/P$44</f>
        <v>0</v>
      </c>
      <c r="AT15" s="113">
        <f t="shared" ref="AT15:AT16" si="22">Q15/Q$44</f>
        <v>0</v>
      </c>
      <c r="AU15" s="113"/>
      <c r="AV15" s="113">
        <f t="shared" si="17"/>
        <v>1.522503094924324E-3</v>
      </c>
      <c r="AW15" s="2"/>
    </row>
    <row r="16" spans="1:49" ht="15" x14ac:dyDescent="0.2">
      <c r="A16" s="66" t="s">
        <v>164</v>
      </c>
      <c r="B16" s="155">
        <v>42.5</v>
      </c>
      <c r="C16" s="155">
        <v>43.3</v>
      </c>
      <c r="D16" s="155">
        <v>40.299999999999997</v>
      </c>
      <c r="E16" s="155">
        <v>38.299999999999997</v>
      </c>
      <c r="F16" s="155">
        <v>39.200000000000003</v>
      </c>
      <c r="G16" s="155">
        <v>40.299999999999997</v>
      </c>
      <c r="H16" s="155">
        <v>43.9</v>
      </c>
      <c r="I16" s="155">
        <v>49.3</v>
      </c>
      <c r="J16" s="155">
        <v>52.9</v>
      </c>
      <c r="K16" s="171">
        <v>44.2</v>
      </c>
      <c r="L16" s="171">
        <v>46</v>
      </c>
      <c r="M16" s="171">
        <v>45.8</v>
      </c>
      <c r="N16" s="171">
        <v>44.9</v>
      </c>
      <c r="O16" s="171">
        <v>49.6</v>
      </c>
      <c r="P16" s="171">
        <v>48.7</v>
      </c>
      <c r="Q16" s="171">
        <v>53.3</v>
      </c>
      <c r="R16" s="155">
        <v>61.7</v>
      </c>
      <c r="S16" s="113">
        <f>RATE(5,,-M16,Q16)</f>
        <v>3.0795101871991821E-2</v>
      </c>
      <c r="T16" s="59" t="str">
        <f>+A16</f>
        <v>Gas Stored Underground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>
        <f t="shared" si="18"/>
        <v>3.0680932473605895E-2</v>
      </c>
      <c r="AG16" s="113">
        <f t="shared" si="18"/>
        <v>2.7837259100642397E-2</v>
      </c>
      <c r="AH16" s="113">
        <f t="shared" si="18"/>
        <v>2.3564880329785272E-2</v>
      </c>
      <c r="AI16" s="113">
        <f t="shared" si="18"/>
        <v>2.1870118277170274E-2</v>
      </c>
      <c r="AJ16" s="113">
        <f t="shared" si="18"/>
        <v>2.0467242254951747E-2</v>
      </c>
      <c r="AK16" s="113">
        <f t="shared" si="18"/>
        <v>1.9990892531876133E-2</v>
      </c>
      <c r="AL16" s="113">
        <f t="shared" si="19"/>
        <v>1.9668860961500098E-2</v>
      </c>
      <c r="AM16" s="113">
        <f t="shared" si="19"/>
        <v>1.960856994588183E-2</v>
      </c>
      <c r="AN16" s="113">
        <f t="shared" si="19"/>
        <v>1.5698810158053633E-2</v>
      </c>
      <c r="AO16" s="113">
        <f t="shared" si="19"/>
        <v>1.5224175991474461E-2</v>
      </c>
      <c r="AP16" s="113">
        <f t="shared" si="19"/>
        <v>1.3971081691171982E-2</v>
      </c>
      <c r="AQ16" s="113">
        <f t="shared" si="19"/>
        <v>1.2435950699349118E-2</v>
      </c>
      <c r="AR16" s="113">
        <f t="shared" si="20"/>
        <v>1.1515334432242934E-2</v>
      </c>
      <c r="AS16" s="113">
        <f t="shared" si="21"/>
        <v>1.0818856355800422E-2</v>
      </c>
      <c r="AT16" s="113">
        <f t="shared" si="22"/>
        <v>1.2294136642524335E-2</v>
      </c>
      <c r="AU16" s="113">
        <f>R16/R$44</f>
        <v>1.4509794699339182E-2</v>
      </c>
      <c r="AV16" s="113">
        <f t="shared" si="17"/>
        <v>1.2095163931152907E-2</v>
      </c>
      <c r="AW16" s="2"/>
    </row>
    <row r="17" spans="1:51" ht="15" x14ac:dyDescent="0.2">
      <c r="A17" s="66" t="s">
        <v>226</v>
      </c>
      <c r="B17" s="155"/>
      <c r="C17" s="155"/>
      <c r="D17" s="155"/>
      <c r="E17" s="155"/>
      <c r="F17" s="155"/>
      <c r="G17" s="155"/>
      <c r="H17" s="155">
        <v>34.200000000000003</v>
      </c>
      <c r="I17" s="155"/>
      <c r="J17" s="155"/>
      <c r="K17" s="171"/>
      <c r="L17" s="171"/>
      <c r="M17" s="171"/>
      <c r="N17" s="171"/>
      <c r="O17" s="171"/>
      <c r="P17" s="171"/>
      <c r="Q17" s="171"/>
      <c r="R17" s="155"/>
      <c r="S17" s="113"/>
      <c r="T17" s="59" t="str">
        <f>+A17</f>
        <v>Federal Tax Receivable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113"/>
      <c r="AH17" s="113"/>
      <c r="AI17" s="113"/>
      <c r="AJ17" s="113"/>
      <c r="AK17" s="113">
        <f>H17/H$44</f>
        <v>1.5573770491803278E-2</v>
      </c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>
        <f t="shared" si="17"/>
        <v>0</v>
      </c>
      <c r="AW17" s="2"/>
    </row>
    <row r="18" spans="1:51" ht="15" x14ac:dyDescent="0.2">
      <c r="A18" s="62" t="s">
        <v>92</v>
      </c>
      <c r="B18" s="155">
        <v>12.1</v>
      </c>
      <c r="C18" s="155">
        <v>7.9</v>
      </c>
      <c r="D18" s="155">
        <v>12.2</v>
      </c>
      <c r="E18" s="155">
        <v>13.5</v>
      </c>
      <c r="F18" s="155">
        <v>12.1</v>
      </c>
      <c r="G18" s="155">
        <v>19.2</v>
      </c>
      <c r="H18" s="155">
        <v>17.100000000000001</v>
      </c>
      <c r="I18" s="155">
        <v>27.6</v>
      </c>
      <c r="J18" s="155">
        <v>25.2</v>
      </c>
      <c r="K18" s="171">
        <v>22.8</v>
      </c>
      <c r="L18" s="171">
        <v>23.41</v>
      </c>
      <c r="M18" s="171">
        <v>18.7</v>
      </c>
      <c r="N18" s="171">
        <v>20.9</v>
      </c>
      <c r="O18" s="171">
        <v>25.2</v>
      </c>
      <c r="P18" s="171">
        <v>40.4</v>
      </c>
      <c r="Q18" s="171">
        <v>42.6</v>
      </c>
      <c r="R18" s="155">
        <v>37.200000000000003</v>
      </c>
      <c r="S18" s="113">
        <f>RATE(5,,-M18,Q18)</f>
        <v>0.17899943918251868</v>
      </c>
      <c r="T18" s="59" t="str">
        <f>A18</f>
        <v>Material and Supplies</v>
      </c>
      <c r="U18" s="33" t="e">
        <f>#REF!/#REF!</f>
        <v>#REF!</v>
      </c>
      <c r="V18" s="33" t="e">
        <f>#REF!/#REF!</f>
        <v>#REF!</v>
      </c>
      <c r="W18" s="33" t="e">
        <f>#REF!/#REF!</f>
        <v>#REF!</v>
      </c>
      <c r="X18" s="33" t="e">
        <f>#REF!/#REF!</f>
        <v>#REF!</v>
      </c>
      <c r="Y18" s="33" t="e">
        <f>#REF!/#REF!</f>
        <v>#REF!</v>
      </c>
      <c r="Z18" s="33" t="e">
        <f>#REF!/#REF!</f>
        <v>#REF!</v>
      </c>
      <c r="AA18" s="33" t="e">
        <f>#REF!/#REF!</f>
        <v>#REF!</v>
      </c>
      <c r="AB18" s="33" t="e">
        <f>#REF!/#REF!</f>
        <v>#REF!</v>
      </c>
      <c r="AC18" s="33" t="e">
        <f>#REF!/#REF!</f>
        <v>#REF!</v>
      </c>
      <c r="AD18" s="33" t="e">
        <f>#REF!/#REF!</f>
        <v>#REF!</v>
      </c>
      <c r="AE18" s="33">
        <f t="shared" ref="AE18:AJ18" si="23">B18/B$44</f>
        <v>9.0359196475244576E-3</v>
      </c>
      <c r="AF18" s="33">
        <f t="shared" si="23"/>
        <v>5.5976759016509604E-3</v>
      </c>
      <c r="AG18" s="113">
        <f t="shared" si="23"/>
        <v>8.4271603232713953E-3</v>
      </c>
      <c r="AH18" s="113">
        <f t="shared" si="23"/>
        <v>8.306158862979144E-3</v>
      </c>
      <c r="AI18" s="113">
        <f t="shared" si="23"/>
        <v>6.7507252845347013E-3</v>
      </c>
      <c r="AJ18" s="113">
        <f t="shared" si="23"/>
        <v>9.751142712036566E-3</v>
      </c>
      <c r="AK18" s="113">
        <f>H18/H$44</f>
        <v>7.7868852459016388E-3</v>
      </c>
      <c r="AL18" s="113">
        <f t="shared" ref="AL18:AQ18" si="24">I18/I$44</f>
        <v>1.1011370436864154E-2</v>
      </c>
      <c r="AM18" s="113">
        <f t="shared" si="24"/>
        <v>9.3409444732745206E-3</v>
      </c>
      <c r="AN18" s="113">
        <f t="shared" si="24"/>
        <v>8.0980287693127335E-3</v>
      </c>
      <c r="AO18" s="113">
        <f t="shared" si="24"/>
        <v>7.747781738269937E-3</v>
      </c>
      <c r="AP18" s="113">
        <f t="shared" si="24"/>
        <v>5.7043499481422722E-3</v>
      </c>
      <c r="AQ18" s="113">
        <f t="shared" si="24"/>
        <v>5.7886719290956923E-3</v>
      </c>
      <c r="AR18" s="113">
        <f t="shared" ref="AR18" si="25">O18/O$44</f>
        <v>5.8505328163814905E-3</v>
      </c>
      <c r="AS18" s="113">
        <f t="shared" ref="AS18" si="26">P18/P$44</f>
        <v>8.9749855600479867E-3</v>
      </c>
      <c r="AT18" s="113">
        <f t="shared" ref="AT18" si="27">Q18/Q$44</f>
        <v>9.8260829450569735E-3</v>
      </c>
      <c r="AU18" s="113">
        <f t="shared" ref="AU18" si="28">R18/R$44</f>
        <v>8.7482068527620343E-3</v>
      </c>
      <c r="AV18" s="113">
        <f t="shared" si="17"/>
        <v>7.3779002436004937E-3</v>
      </c>
      <c r="AW18" s="2"/>
    </row>
    <row r="19" spans="1:51" ht="15" x14ac:dyDescent="0.2">
      <c r="A19" s="62" t="s">
        <v>277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71"/>
      <c r="L19" s="171"/>
      <c r="M19" s="171"/>
      <c r="N19" s="171"/>
      <c r="O19" s="171">
        <v>117.2</v>
      </c>
      <c r="P19" s="171"/>
      <c r="Q19" s="171"/>
      <c r="R19" s="155"/>
      <c r="S19" s="113"/>
      <c r="T19" s="59" t="str">
        <f>A19</f>
        <v>Derivative Assets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>
        <f t="shared" si="17"/>
        <v>5.8504053352501891E-3</v>
      </c>
      <c r="AW19" s="2"/>
    </row>
    <row r="20" spans="1:51" ht="15" hidden="1" x14ac:dyDescent="0.2">
      <c r="A20" s="66" t="s">
        <v>139</v>
      </c>
      <c r="B20" s="155"/>
      <c r="C20" s="155">
        <v>7.7</v>
      </c>
      <c r="D20" s="155">
        <v>1.5</v>
      </c>
      <c r="E20" s="155"/>
      <c r="F20" s="155">
        <v>2.8</v>
      </c>
      <c r="G20" s="155"/>
      <c r="H20" s="155"/>
      <c r="I20" s="155"/>
      <c r="J20" s="155"/>
      <c r="K20" s="171"/>
      <c r="L20" s="171"/>
      <c r="M20" s="171"/>
      <c r="N20" s="171"/>
      <c r="O20" s="171"/>
      <c r="P20" s="171"/>
      <c r="Q20" s="171"/>
      <c r="R20" s="155"/>
      <c r="S20" s="113" t="e">
        <f t="shared" ref="S20:S21" si="29">RATE(5,,-J20,N20)</f>
        <v>#NUM!</v>
      </c>
      <c r="T20" s="59" t="str">
        <f>+A20</f>
        <v>Income Tax Receivable</v>
      </c>
      <c r="U20" s="33"/>
      <c r="V20" s="33"/>
      <c r="W20" s="33"/>
      <c r="X20" s="33"/>
      <c r="Y20" s="33"/>
      <c r="Z20" s="33"/>
      <c r="AA20" s="33"/>
      <c r="AB20" s="33"/>
      <c r="AC20" s="33"/>
      <c r="AD20" s="33" t="e">
        <f>#REF!/#REF!</f>
        <v>#REF!</v>
      </c>
      <c r="AE20" s="33"/>
      <c r="AF20" s="3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>
        <f t="shared" si="17"/>
        <v>0</v>
      </c>
      <c r="AW20" s="2"/>
    </row>
    <row r="21" spans="1:51" ht="15" hidden="1" x14ac:dyDescent="0.2">
      <c r="A21" s="66" t="s">
        <v>156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71"/>
      <c r="L21" s="171"/>
      <c r="M21" s="171"/>
      <c r="N21" s="171"/>
      <c r="O21" s="171"/>
      <c r="P21" s="171"/>
      <c r="Q21" s="171"/>
      <c r="R21" s="155"/>
      <c r="S21" s="113" t="e">
        <f t="shared" si="29"/>
        <v>#NUM!</v>
      </c>
      <c r="T21" s="59" t="str">
        <f>+A21</f>
        <v>Purchased-Gas Adjustment</v>
      </c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>
        <f t="shared" si="17"/>
        <v>0</v>
      </c>
      <c r="AW21" s="2"/>
    </row>
    <row r="22" spans="1:51" ht="15" x14ac:dyDescent="0.2">
      <c r="A22" s="66" t="s">
        <v>59</v>
      </c>
      <c r="B22" s="155">
        <v>43.3</v>
      </c>
      <c r="C22" s="155">
        <v>52.7</v>
      </c>
      <c r="D22" s="155">
        <v>26.5</v>
      </c>
      <c r="E22" s="155">
        <v>41</v>
      </c>
      <c r="F22" s="155">
        <v>30.2</v>
      </c>
      <c r="G22" s="155">
        <v>78.3</v>
      </c>
      <c r="H22" s="155">
        <v>69.8</v>
      </c>
      <c r="I22" s="155">
        <v>9.6</v>
      </c>
      <c r="J22" s="155">
        <v>16.600000000000001</v>
      </c>
      <c r="K22" s="171">
        <v>14</v>
      </c>
      <c r="L22" s="171">
        <v>53.2</v>
      </c>
      <c r="M22" s="171">
        <v>32.200000000000003</v>
      </c>
      <c r="N22" s="171">
        <v>107.5</v>
      </c>
      <c r="O22" s="171">
        <v>249.9</v>
      </c>
      <c r="P22" s="171">
        <v>278.89999999999998</v>
      </c>
      <c r="Q22" s="171">
        <v>35.9</v>
      </c>
      <c r="R22" s="171">
        <v>32.5</v>
      </c>
      <c r="S22" s="113">
        <f t="shared" ref="S22:S24" si="30">RATE(5,,-M22,Q22)</f>
        <v>2.1992515729463834E-2</v>
      </c>
      <c r="T22" s="59" t="str">
        <f>+A22</f>
        <v>Regulatory Assets</v>
      </c>
      <c r="U22" s="33"/>
      <c r="V22" s="33"/>
      <c r="W22" s="33"/>
      <c r="X22" s="33"/>
      <c r="Y22" s="33"/>
      <c r="Z22" s="33"/>
      <c r="AA22" s="33"/>
      <c r="AB22" s="33"/>
      <c r="AC22" s="33"/>
      <c r="AD22" s="33" t="e">
        <f>#REF!/#REF!</f>
        <v>#REF!</v>
      </c>
      <c r="AE22" s="33">
        <f t="shared" ref="AE22:AQ24" si="31">B22/B$44</f>
        <v>3.233515047419909E-2</v>
      </c>
      <c r="AF22" s="33">
        <f t="shared" si="31"/>
        <v>3.7341458230000714E-2</v>
      </c>
      <c r="AG22" s="113">
        <f t="shared" si="31"/>
        <v>1.8304897423499344E-2</v>
      </c>
      <c r="AH22" s="113">
        <f t="shared" si="31"/>
        <v>2.5226112102381102E-2</v>
      </c>
      <c r="AI22" s="113">
        <f t="shared" si="31"/>
        <v>1.6848917652309749E-2</v>
      </c>
      <c r="AJ22" s="113">
        <f t="shared" si="31"/>
        <v>3.976637887252412E-2</v>
      </c>
      <c r="AK22" s="113">
        <f t="shared" si="31"/>
        <v>3.1785063752276861E-2</v>
      </c>
      <c r="AL22" s="113">
        <f t="shared" si="31"/>
        <v>3.8300418910831835E-3</v>
      </c>
      <c r="AM22" s="113">
        <f t="shared" si="31"/>
        <v>6.1531618355697244E-3</v>
      </c>
      <c r="AN22" s="113">
        <f t="shared" si="31"/>
        <v>4.9724738057183452E-3</v>
      </c>
      <c r="AO22" s="113">
        <f t="shared" si="31"/>
        <v>1.7607090494487856E-2</v>
      </c>
      <c r="AP22" s="113">
        <f t="shared" si="31"/>
        <v>9.8224635470685138E-3</v>
      </c>
      <c r="AQ22" s="113">
        <f t="shared" si="31"/>
        <v>2.9774269491760139E-2</v>
      </c>
      <c r="AR22" s="113">
        <f t="shared" ref="AR22:AR24" si="32">O22/O$44</f>
        <v>5.801778376244978E-2</v>
      </c>
      <c r="AS22" s="113">
        <f t="shared" ref="AS22:AS24" si="33">P22/P$44</f>
        <v>6.1958501799440187E-2</v>
      </c>
      <c r="AT22" s="113">
        <f t="shared" ref="AT22:AT24" si="34">Q22/Q$44</f>
        <v>8.2806661438390924E-3</v>
      </c>
      <c r="AU22" s="113">
        <f t="shared" ref="AU22:AU24" si="35">R22/R$44</f>
        <v>7.6429226536227452E-3</v>
      </c>
      <c r="AV22" s="113">
        <f t="shared" si="17"/>
        <v>3.5162333772612908E-2</v>
      </c>
      <c r="AW22" s="2"/>
    </row>
    <row r="23" spans="1:51" ht="15" x14ac:dyDescent="0.2">
      <c r="A23" s="59" t="s">
        <v>22</v>
      </c>
      <c r="B23" s="155">
        <v>7</v>
      </c>
      <c r="C23" s="155">
        <v>4.2</v>
      </c>
      <c r="D23" s="155">
        <v>8.6999999999999993</v>
      </c>
      <c r="E23" s="155">
        <v>4.7</v>
      </c>
      <c r="F23" s="155">
        <v>5.9</v>
      </c>
      <c r="G23" s="155">
        <v>3.5</v>
      </c>
      <c r="H23" s="155">
        <v>3.5</v>
      </c>
      <c r="I23" s="155">
        <v>3.7</v>
      </c>
      <c r="J23" s="155">
        <f>3.9+1.4</f>
        <v>5.3</v>
      </c>
      <c r="K23" s="171">
        <f>3.1+7.6</f>
        <v>10.7</v>
      </c>
      <c r="L23" s="171">
        <v>3.8</v>
      </c>
      <c r="M23" s="171">
        <f>3.3+2.1</f>
        <v>5.4</v>
      </c>
      <c r="N23" s="171">
        <f>4.4+3.9+2.1</f>
        <v>10.4</v>
      </c>
      <c r="O23" s="171">
        <f>3.4+1.9</f>
        <v>5.3</v>
      </c>
      <c r="P23" s="171">
        <v>6.8</v>
      </c>
      <c r="Q23" s="171">
        <f>2.2+1.2</f>
        <v>3.4000000000000004</v>
      </c>
      <c r="R23" s="155">
        <f>3.5+2.3</f>
        <v>5.8</v>
      </c>
      <c r="S23" s="113">
        <f t="shared" si="30"/>
        <v>-8.8373310494654439E-2</v>
      </c>
      <c r="T23" s="59" t="str">
        <f>A23</f>
        <v>Other Current Assets</v>
      </c>
      <c r="U23" s="63" t="e">
        <f>#REF!/#REF!</f>
        <v>#REF!</v>
      </c>
      <c r="V23" s="63" t="e">
        <f>#REF!/#REF!</f>
        <v>#REF!</v>
      </c>
      <c r="W23" s="63" t="e">
        <f>#REF!/#REF!</f>
        <v>#REF!</v>
      </c>
      <c r="X23" s="63" t="e">
        <f>#REF!/#REF!</f>
        <v>#REF!</v>
      </c>
      <c r="Y23" s="63" t="e">
        <f>#REF!/#REF!</f>
        <v>#REF!</v>
      </c>
      <c r="Z23" s="63" t="e">
        <f>#REF!/#REF!</f>
        <v>#REF!</v>
      </c>
      <c r="AA23" s="63" t="e">
        <f>#REF!/#REF!</f>
        <v>#REF!</v>
      </c>
      <c r="AB23" s="63" t="e">
        <f>#REF!/#REF!</f>
        <v>#REF!</v>
      </c>
      <c r="AC23" s="63" t="e">
        <f>#REF!/#REF!</f>
        <v>#REF!</v>
      </c>
      <c r="AD23" s="63" t="e">
        <f>#REF!/#REF!</f>
        <v>#REF!</v>
      </c>
      <c r="AE23" s="63">
        <f t="shared" si="31"/>
        <v>5.2273915316257188E-3</v>
      </c>
      <c r="AF23" s="63">
        <f t="shared" si="31"/>
        <v>2.9759795932827893E-3</v>
      </c>
      <c r="AG23" s="235">
        <f t="shared" si="31"/>
        <v>6.0095323616771419E-3</v>
      </c>
      <c r="AH23" s="235">
        <f t="shared" si="31"/>
        <v>2.891773826370517E-3</v>
      </c>
      <c r="AI23" s="235">
        <f t="shared" si="31"/>
        <v>3.2916759651863423E-3</v>
      </c>
      <c r="AJ23" s="235">
        <f t="shared" si="31"/>
        <v>1.7775520568816656E-3</v>
      </c>
      <c r="AK23" s="235">
        <f t="shared" si="31"/>
        <v>1.5938069216757738E-3</v>
      </c>
      <c r="AL23" s="235">
        <f t="shared" si="31"/>
        <v>1.476161978854977E-3</v>
      </c>
      <c r="AM23" s="235">
        <f t="shared" si="31"/>
        <v>1.9645637185855143E-3</v>
      </c>
      <c r="AN23" s="235">
        <f t="shared" si="31"/>
        <v>3.800390694370449E-3</v>
      </c>
      <c r="AO23" s="235">
        <f t="shared" si="31"/>
        <v>1.2576493210348467E-3</v>
      </c>
      <c r="AP23" s="235">
        <f t="shared" si="31"/>
        <v>1.647245439570496E-3</v>
      </c>
      <c r="AQ23" s="235">
        <f t="shared" si="31"/>
        <v>2.8804874671098184E-3</v>
      </c>
      <c r="AR23" s="235">
        <f t="shared" si="32"/>
        <v>1.2304692034453134E-3</v>
      </c>
      <c r="AS23" s="235">
        <f t="shared" si="33"/>
        <v>1.5106411338694633E-3</v>
      </c>
      <c r="AT23" s="235">
        <f t="shared" si="34"/>
        <v>7.8424136181205902E-4</v>
      </c>
      <c r="AU23" s="235">
        <f t="shared" si="35"/>
        <v>1.3639677351080591E-3</v>
      </c>
      <c r="AV23" s="113">
        <f t="shared" si="17"/>
        <v>1.5624376023321753E-3</v>
      </c>
      <c r="AW23" s="2"/>
    </row>
    <row r="24" spans="1:51" ht="15" x14ac:dyDescent="0.2">
      <c r="A24" s="59" t="s">
        <v>37</v>
      </c>
      <c r="B24" s="178">
        <f t="shared" ref="B24:R24" si="36">SUM(B10:B23)</f>
        <v>279</v>
      </c>
      <c r="C24" s="178">
        <f t="shared" si="36"/>
        <v>291.8</v>
      </c>
      <c r="D24" s="178">
        <f t="shared" si="36"/>
        <v>247.3</v>
      </c>
      <c r="E24" s="178">
        <f t="shared" si="36"/>
        <v>275.90000000000003</v>
      </c>
      <c r="F24" s="178">
        <f t="shared" si="36"/>
        <v>308.90000000000003</v>
      </c>
      <c r="G24" s="178">
        <f t="shared" si="36"/>
        <v>366.40000000000003</v>
      </c>
      <c r="H24" s="178">
        <f t="shared" si="36"/>
        <v>417</v>
      </c>
      <c r="I24" s="178">
        <f t="shared" si="36"/>
        <v>262.09999999999997</v>
      </c>
      <c r="J24" s="193">
        <f t="shared" si="36"/>
        <v>282.00000000000006</v>
      </c>
      <c r="K24" s="193">
        <f t="shared" si="36"/>
        <v>249</v>
      </c>
      <c r="L24" s="193">
        <f t="shared" si="36"/>
        <v>300.51</v>
      </c>
      <c r="M24" s="193">
        <f t="shared" si="36"/>
        <v>293.79999999999995</v>
      </c>
      <c r="N24" s="193">
        <f t="shared" si="36"/>
        <v>384.79999999999995</v>
      </c>
      <c r="O24" s="193">
        <f t="shared" si="36"/>
        <v>775.4</v>
      </c>
      <c r="P24" s="193">
        <f t="shared" si="36"/>
        <v>702.5</v>
      </c>
      <c r="Q24" s="193">
        <f t="shared" ref="Q24" si="37">SUM(Q10:Q23)</f>
        <v>469</v>
      </c>
      <c r="R24" s="178">
        <f t="shared" si="36"/>
        <v>205</v>
      </c>
      <c r="S24" s="113">
        <f t="shared" si="30"/>
        <v>9.8055294316940295E-2</v>
      </c>
      <c r="T24" s="59" t="str">
        <f>A24</f>
        <v>Total Current Assets</v>
      </c>
      <c r="U24" s="33" t="e">
        <f>#REF!/#REF!</f>
        <v>#REF!</v>
      </c>
      <c r="V24" s="33" t="e">
        <f>#REF!/#REF!</f>
        <v>#REF!</v>
      </c>
      <c r="W24" s="33" t="e">
        <f>#REF!/#REF!</f>
        <v>#REF!</v>
      </c>
      <c r="X24" s="33" t="e">
        <f>#REF!/#REF!</f>
        <v>#REF!</v>
      </c>
      <c r="Y24" s="33" t="e">
        <f>#REF!/#REF!</f>
        <v>#REF!</v>
      </c>
      <c r="Z24" s="33" t="e">
        <f>#REF!/#REF!</f>
        <v>#REF!</v>
      </c>
      <c r="AA24" s="33" t="e">
        <f>#REF!/#REF!</f>
        <v>#REF!</v>
      </c>
      <c r="AB24" s="33" t="e">
        <f>#REF!/#REF!</f>
        <v>#REF!</v>
      </c>
      <c r="AC24" s="33" t="e">
        <f>#REF!/#REF!</f>
        <v>#REF!</v>
      </c>
      <c r="AD24" s="33" t="e">
        <f>#REF!/#REF!</f>
        <v>#REF!</v>
      </c>
      <c r="AE24" s="33">
        <f t="shared" si="31"/>
        <v>0.20834889104622509</v>
      </c>
      <c r="AF24" s="33">
        <f t="shared" si="31"/>
        <v>0.20675972507617091</v>
      </c>
      <c r="AG24" s="113">
        <f t="shared" si="31"/>
        <v>0.17082268425778821</v>
      </c>
      <c r="AH24" s="113">
        <f t="shared" si="31"/>
        <v>0.16975327631821824</v>
      </c>
      <c r="AI24" s="113">
        <f t="shared" si="31"/>
        <v>0.17233876366882395</v>
      </c>
      <c r="AJ24" s="113">
        <f t="shared" si="31"/>
        <v>0.18608430675469781</v>
      </c>
      <c r="AK24" s="113">
        <f t="shared" si="31"/>
        <v>0.18989071038251362</v>
      </c>
      <c r="AL24" s="113">
        <f t="shared" si="31"/>
        <v>0.10456812288051066</v>
      </c>
      <c r="AM24" s="113">
        <f t="shared" si="31"/>
        <v>0.10452961672473871</v>
      </c>
      <c r="AN24" s="113">
        <f t="shared" si="31"/>
        <v>8.8438998401704855E-2</v>
      </c>
      <c r="AO24" s="113">
        <f t="shared" si="31"/>
        <v>9.9456894069521518E-2</v>
      </c>
      <c r="AP24" s="113">
        <f t="shared" si="31"/>
        <v>8.9622353730705859E-2</v>
      </c>
      <c r="AQ24" s="113">
        <f t="shared" si="31"/>
        <v>0.10657803628306327</v>
      </c>
      <c r="AR24" s="113">
        <f t="shared" si="32"/>
        <v>0.18001996610405585</v>
      </c>
      <c r="AS24" s="113">
        <f t="shared" si="33"/>
        <v>0.15606255831519086</v>
      </c>
      <c r="AT24" s="113">
        <f t="shared" si="34"/>
        <v>0.10817917608525165</v>
      </c>
      <c r="AU24" s="113">
        <f t="shared" si="35"/>
        <v>4.8209204430543467E-2</v>
      </c>
      <c r="AV24" s="113">
        <f t="shared" si="17"/>
        <v>0.1310600614991414</v>
      </c>
      <c r="AW24" s="2"/>
    </row>
    <row r="25" spans="1:51" ht="15" x14ac:dyDescent="0.2">
      <c r="A25" s="59"/>
      <c r="B25" s="155"/>
      <c r="C25" s="155"/>
      <c r="D25" s="155"/>
      <c r="E25" s="155"/>
      <c r="F25" s="155"/>
      <c r="G25" s="155"/>
      <c r="H25" s="155"/>
      <c r="I25" s="155"/>
      <c r="J25" s="155"/>
      <c r="K25" s="171"/>
      <c r="L25" s="171"/>
      <c r="M25" s="171"/>
      <c r="N25" s="171"/>
      <c r="O25" s="171"/>
      <c r="P25" s="171"/>
      <c r="Q25" s="171"/>
      <c r="R25" s="155"/>
      <c r="S25" s="113"/>
      <c r="T25" s="59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2"/>
    </row>
    <row r="26" spans="1:51" ht="15.75" x14ac:dyDescent="0.25">
      <c r="A26" s="81" t="s">
        <v>24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71"/>
      <c r="L26" s="171"/>
      <c r="M26" s="171"/>
      <c r="N26" s="171"/>
      <c r="O26" s="171"/>
      <c r="P26" s="171"/>
      <c r="Q26" s="171"/>
      <c r="R26" s="155"/>
      <c r="S26" s="113"/>
      <c r="T26" s="81" t="s">
        <v>24</v>
      </c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2"/>
    </row>
    <row r="27" spans="1:51" ht="15" x14ac:dyDescent="0.2">
      <c r="A27" s="59" t="s">
        <v>111</v>
      </c>
      <c r="B27" s="155">
        <v>1681.6</v>
      </c>
      <c r="C27" s="155">
        <v>1762.5</v>
      </c>
      <c r="D27" s="155">
        <v>1867.5</v>
      </c>
      <c r="E27" s="155">
        <v>1972.1</v>
      </c>
      <c r="F27" s="155">
        <v>2129.6</v>
      </c>
      <c r="G27" s="155">
        <v>2297.9</v>
      </c>
      <c r="H27" s="155">
        <v>2507.8000000000002</v>
      </c>
      <c r="I27" s="155">
        <f>2436.7+369.5</f>
        <v>2806.2</v>
      </c>
      <c r="J27" s="155">
        <f>2605+345.6</f>
        <v>2950.6</v>
      </c>
      <c r="K27" s="171">
        <f>3234.7-69.1</f>
        <v>3165.6</v>
      </c>
      <c r="L27" s="171">
        <f>3398.1-95.6</f>
        <v>3302.5</v>
      </c>
      <c r="M27" s="171">
        <f>3692.8-171.1</f>
        <v>3521.7000000000003</v>
      </c>
      <c r="N27" s="171">
        <f>3965.3-280.2</f>
        <v>3685.1000000000004</v>
      </c>
      <c r="O27" s="171">
        <f>3749.6+400</f>
        <v>4149.6000000000004</v>
      </c>
      <c r="P27" s="171">
        <f>4110.7+416.4</f>
        <v>4527.0999999999995</v>
      </c>
      <c r="Q27" s="171">
        <v>4883.8999999999996</v>
      </c>
      <c r="R27" s="155">
        <v>5123</v>
      </c>
      <c r="S27" s="113">
        <f t="shared" ref="S27:S30" si="38">RATE(5,,-M27,Q27)</f>
        <v>6.7586027493542214E-2</v>
      </c>
      <c r="T27" s="59" t="str">
        <f>A27</f>
        <v>Plant in Service</v>
      </c>
      <c r="U27" s="33" t="e">
        <f>#REF!/#REF!</f>
        <v>#REF!</v>
      </c>
      <c r="V27" s="33" t="e">
        <f>#REF!/#REF!</f>
        <v>#REF!</v>
      </c>
      <c r="W27" s="33" t="e">
        <f>#REF!/#REF!</f>
        <v>#REF!</v>
      </c>
      <c r="X27" s="33" t="e">
        <f>#REF!/#REF!</f>
        <v>#REF!</v>
      </c>
      <c r="Y27" s="33" t="e">
        <f>#REF!/#REF!</f>
        <v>#REF!</v>
      </c>
      <c r="Z27" s="33" t="e">
        <f>#REF!/#REF!</f>
        <v>#REF!</v>
      </c>
      <c r="AA27" s="33" t="e">
        <f>#REF!/#REF!</f>
        <v>#REF!</v>
      </c>
      <c r="AB27" s="33" t="e">
        <f>#REF!/#REF!</f>
        <v>#REF!</v>
      </c>
      <c r="AC27" s="33" t="e">
        <f>#REF!/#REF!</f>
        <v>#REF!</v>
      </c>
      <c r="AD27" s="33" t="e">
        <f>#REF!/#REF!</f>
        <v>#REF!</v>
      </c>
      <c r="AE27" s="33">
        <f t="shared" ref="AE27:AQ28" si="39">B27/B$44</f>
        <v>1.2557687999402585</v>
      </c>
      <c r="AF27" s="33">
        <f t="shared" si="39"/>
        <v>1.2488485793240276</v>
      </c>
      <c r="AG27" s="113">
        <f t="shared" si="39"/>
        <v>1.2899772052220764</v>
      </c>
      <c r="AH27" s="113">
        <f t="shared" si="39"/>
        <v>1.2133759921245311</v>
      </c>
      <c r="AI27" s="113">
        <f t="shared" si="39"/>
        <v>1.1881276500781075</v>
      </c>
      <c r="AJ27" s="113">
        <f t="shared" si="39"/>
        <v>1.1670391061452514</v>
      </c>
      <c r="AK27" s="113">
        <f t="shared" si="39"/>
        <v>1.1419854280510016</v>
      </c>
      <c r="AL27" s="113">
        <f t="shared" si="39"/>
        <v>1.1195691202872531</v>
      </c>
      <c r="AM27" s="113">
        <f t="shared" si="39"/>
        <v>1.0937059826525317</v>
      </c>
      <c r="AN27" s="113">
        <f t="shared" si="39"/>
        <v>1.1243473628129994</v>
      </c>
      <c r="AO27" s="113">
        <f t="shared" si="39"/>
        <v>1.0929965480835739</v>
      </c>
      <c r="AP27" s="113">
        <f t="shared" si="39"/>
        <v>1.0742785675065585</v>
      </c>
      <c r="AQ27" s="113">
        <f t="shared" si="39"/>
        <v>1.0206619581775378</v>
      </c>
      <c r="AR27" s="113">
        <f t="shared" ref="AR27:AR28" si="40">O27/O$44</f>
        <v>0.96338773709748549</v>
      </c>
      <c r="AS27" s="113">
        <f t="shared" ref="AS27:AS28" si="41">P27/P$44</f>
        <v>1.005709334873595</v>
      </c>
      <c r="AT27" s="113">
        <f t="shared" ref="AT27:AT28" si="42">Q27/Q$44</f>
        <v>1.1265165843982101</v>
      </c>
      <c r="AU27" s="113">
        <f t="shared" ref="AU27:AU28" si="43">R27/R$44</f>
        <v>1.2047597770618252</v>
      </c>
      <c r="AV27" s="113">
        <f t="shared" ref="AV27:AV30" si="44">SUM(M27:Q27)/SUM(M$44:Q$44)</f>
        <v>1.0366698614272591</v>
      </c>
      <c r="AW27" s="2"/>
      <c r="AY27" s="1"/>
    </row>
    <row r="28" spans="1:51" ht="15" x14ac:dyDescent="0.2">
      <c r="A28" s="62" t="s">
        <v>119</v>
      </c>
      <c r="B28" s="187">
        <v>40.299999999999997</v>
      </c>
      <c r="C28" s="187">
        <v>55.1</v>
      </c>
      <c r="D28" s="187">
        <v>59.5</v>
      </c>
      <c r="E28" s="187">
        <v>68.8</v>
      </c>
      <c r="F28" s="187">
        <v>73.400000000000006</v>
      </c>
      <c r="G28" s="187">
        <v>54.4</v>
      </c>
      <c r="H28" s="187">
        <v>62.5</v>
      </c>
      <c r="I28" s="187">
        <v>76.8</v>
      </c>
      <c r="J28" s="187">
        <v>91.1</v>
      </c>
      <c r="K28" s="282">
        <v>69.099999999999994</v>
      </c>
      <c r="L28" s="282">
        <v>95.6</v>
      </c>
      <c r="M28" s="282">
        <v>171.1</v>
      </c>
      <c r="N28" s="282">
        <v>280.2</v>
      </c>
      <c r="O28" s="282">
        <v>165.1</v>
      </c>
      <c r="P28" s="282">
        <v>113.5</v>
      </c>
      <c r="Q28" s="282"/>
      <c r="R28" s="187"/>
      <c r="S28" s="113">
        <f t="shared" si="38"/>
        <v>-0.99999940914518248</v>
      </c>
      <c r="T28" s="59" t="str">
        <f>A28</f>
        <v>Construction Work in Progress</v>
      </c>
      <c r="U28" s="33" t="e">
        <f>#REF!/#REF!</f>
        <v>#REF!</v>
      </c>
      <c r="V28" s="33" t="e">
        <f>#REF!/#REF!</f>
        <v>#REF!</v>
      </c>
      <c r="W28" s="33" t="e">
        <f>#REF!/#REF!</f>
        <v>#REF!</v>
      </c>
      <c r="X28" s="33" t="e">
        <f>#REF!/#REF!</f>
        <v>#REF!</v>
      </c>
      <c r="Y28" s="33" t="e">
        <f>#REF!/#REF!</f>
        <v>#REF!</v>
      </c>
      <c r="Z28" s="33" t="e">
        <f>#REF!/#REF!</f>
        <v>#REF!</v>
      </c>
      <c r="AA28" s="33" t="e">
        <f>#REF!/#REF!</f>
        <v>#REF!</v>
      </c>
      <c r="AB28" s="33" t="e">
        <f>#REF!/#REF!</f>
        <v>#REF!</v>
      </c>
      <c r="AC28" s="33" t="e">
        <f>#REF!/#REF!</f>
        <v>#REF!</v>
      </c>
      <c r="AD28" s="33" t="e">
        <f>#REF!/#REF!</f>
        <v>#REF!</v>
      </c>
      <c r="AE28" s="33">
        <f t="shared" si="39"/>
        <v>3.0094839817788068E-2</v>
      </c>
      <c r="AF28" s="114">
        <f t="shared" si="39"/>
        <v>3.9042017997590876E-2</v>
      </c>
      <c r="AG28" s="185">
        <f t="shared" si="39"/>
        <v>4.10996753471023E-2</v>
      </c>
      <c r="AH28" s="185">
        <f t="shared" si="39"/>
        <v>4.2330646649849264E-2</v>
      </c>
      <c r="AI28" s="185">
        <f t="shared" si="39"/>
        <v>4.0950680651640259E-2</v>
      </c>
      <c r="AJ28" s="185">
        <f t="shared" si="39"/>
        <v>2.7628237684103604E-2</v>
      </c>
      <c r="AK28" s="185">
        <f t="shared" si="39"/>
        <v>2.8460837887067391E-2</v>
      </c>
      <c r="AL28" s="185">
        <f t="shared" si="39"/>
        <v>3.0640335128665468E-2</v>
      </c>
      <c r="AM28" s="185">
        <f t="shared" si="39"/>
        <v>3.376825561568686E-2</v>
      </c>
      <c r="AN28" s="185">
        <f t="shared" si="39"/>
        <v>2.4542709998224114E-2</v>
      </c>
      <c r="AO28" s="185">
        <f t="shared" si="39"/>
        <v>3.1639809234455613E-2</v>
      </c>
      <c r="AP28" s="185">
        <f t="shared" si="39"/>
        <v>5.2193276798242934E-2</v>
      </c>
      <c r="AQ28" s="185">
        <f t="shared" si="39"/>
        <v>7.7606979642708754E-2</v>
      </c>
      <c r="AR28" s="185">
        <f t="shared" si="40"/>
        <v>3.8330276507324762E-2</v>
      </c>
      <c r="AS28" s="185">
        <f t="shared" si="41"/>
        <v>2.5214377749144718E-2</v>
      </c>
      <c r="AT28" s="185">
        <f t="shared" si="42"/>
        <v>0</v>
      </c>
      <c r="AU28" s="185">
        <f t="shared" si="43"/>
        <v>0</v>
      </c>
      <c r="AV28" s="113">
        <f t="shared" si="44"/>
        <v>3.6435246196238162E-2</v>
      </c>
      <c r="AW28" s="2"/>
    </row>
    <row r="29" spans="1:51" ht="15" hidden="1" x14ac:dyDescent="0.2">
      <c r="A29" s="59" t="s">
        <v>57</v>
      </c>
      <c r="B29" s="187"/>
      <c r="C29" s="187"/>
      <c r="D29" s="187"/>
      <c r="E29" s="187"/>
      <c r="F29" s="187"/>
      <c r="G29" s="187"/>
      <c r="H29" s="187"/>
      <c r="I29" s="187"/>
      <c r="J29" s="187"/>
      <c r="K29" s="282"/>
      <c r="L29" s="282"/>
      <c r="M29" s="282"/>
      <c r="N29" s="282"/>
      <c r="O29" s="282"/>
      <c r="P29" s="282"/>
      <c r="Q29" s="282"/>
      <c r="R29" s="187"/>
      <c r="S29" s="113" t="e">
        <f t="shared" si="38"/>
        <v>#NUM!</v>
      </c>
      <c r="T29" s="59" t="str">
        <f>A29</f>
        <v>Other PP&amp;E</v>
      </c>
      <c r="U29" s="33" t="e">
        <f>#REF!/#REF!</f>
        <v>#REF!</v>
      </c>
      <c r="V29" s="33" t="e">
        <f>#REF!/#REF!</f>
        <v>#REF!</v>
      </c>
      <c r="W29" s="33" t="e">
        <f>#REF!/#REF!</f>
        <v>#REF!</v>
      </c>
      <c r="X29" s="33" t="e">
        <f>#REF!/#REF!</f>
        <v>#REF!</v>
      </c>
      <c r="Y29" s="33" t="e">
        <f>#REF!/#REF!</f>
        <v>#REF!</v>
      </c>
      <c r="Z29" s="33"/>
      <c r="AA29" s="33"/>
      <c r="AB29" s="33"/>
      <c r="AC29" s="33"/>
      <c r="AD29" s="33"/>
      <c r="AE29" s="33"/>
      <c r="AF29" s="3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>
        <f t="shared" si="44"/>
        <v>0</v>
      </c>
      <c r="AW29" s="2"/>
    </row>
    <row r="30" spans="1:51" ht="15" customHeight="1" x14ac:dyDescent="0.2">
      <c r="A30" s="59" t="s">
        <v>64</v>
      </c>
      <c r="B30" s="178">
        <f t="shared" ref="B30:C30" si="45">SUM(B27:B29)</f>
        <v>1721.8999999999999</v>
      </c>
      <c r="C30" s="178">
        <f t="shared" si="45"/>
        <v>1817.6</v>
      </c>
      <c r="D30" s="178">
        <f t="shared" ref="D30:R30" si="46">SUM(D27:D29)</f>
        <v>1927</v>
      </c>
      <c r="E30" s="178">
        <f t="shared" si="46"/>
        <v>2040.8999999999999</v>
      </c>
      <c r="F30" s="178">
        <f t="shared" si="46"/>
        <v>2203</v>
      </c>
      <c r="G30" s="178">
        <f t="shared" si="46"/>
        <v>2352.3000000000002</v>
      </c>
      <c r="H30" s="178">
        <f t="shared" si="46"/>
        <v>2570.3000000000002</v>
      </c>
      <c r="I30" s="178">
        <f t="shared" si="46"/>
        <v>2883</v>
      </c>
      <c r="J30" s="178">
        <f t="shared" si="46"/>
        <v>3041.7</v>
      </c>
      <c r="K30" s="193">
        <f t="shared" si="46"/>
        <v>3234.7</v>
      </c>
      <c r="L30" s="193">
        <f t="shared" ref="L30" si="47">SUM(L27:L29)</f>
        <v>3398.1</v>
      </c>
      <c r="M30" s="193">
        <f t="shared" ref="M30:N30" si="48">SUM(M27:M29)</f>
        <v>3692.8</v>
      </c>
      <c r="N30" s="193">
        <f t="shared" si="48"/>
        <v>3965.3</v>
      </c>
      <c r="O30" s="193">
        <f t="shared" ref="O30:P30" si="49">SUM(O27:O29)</f>
        <v>4314.7000000000007</v>
      </c>
      <c r="P30" s="193">
        <f t="shared" si="49"/>
        <v>4640.5999999999995</v>
      </c>
      <c r="Q30" s="193">
        <f t="shared" ref="Q30" si="50">SUM(Q27:Q29)</f>
        <v>4883.8999999999996</v>
      </c>
      <c r="R30" s="178">
        <f t="shared" si="46"/>
        <v>5123</v>
      </c>
      <c r="S30" s="113">
        <f t="shared" si="38"/>
        <v>5.7504429545844678E-2</v>
      </c>
      <c r="T30" s="59" t="str">
        <f>A30</f>
        <v>Total Plant &amp; Equipment:</v>
      </c>
      <c r="U30" s="64" t="e">
        <f>#REF!/#REF!</f>
        <v>#REF!</v>
      </c>
      <c r="V30" s="64" t="e">
        <f>#REF!/#REF!</f>
        <v>#REF!</v>
      </c>
      <c r="W30" s="64" t="e">
        <f>#REF!/#REF!</f>
        <v>#REF!</v>
      </c>
      <c r="X30" s="64" t="e">
        <f>#REF!/#REF!</f>
        <v>#REF!</v>
      </c>
      <c r="Y30" s="64" t="e">
        <f>#REF!/#REF!</f>
        <v>#REF!</v>
      </c>
      <c r="Z30" s="64" t="e">
        <f>#REF!/#REF!</f>
        <v>#REF!</v>
      </c>
      <c r="AA30" s="64" t="e">
        <f>#REF!/#REF!</f>
        <v>#REF!</v>
      </c>
      <c r="AB30" s="64" t="e">
        <f>#REF!/#REF!</f>
        <v>#REF!</v>
      </c>
      <c r="AC30" s="64" t="e">
        <f>#REF!/#REF!</f>
        <v>#REF!</v>
      </c>
      <c r="AD30" s="64" t="e">
        <f>#REF!/#REF!</f>
        <v>#REF!</v>
      </c>
      <c r="AE30" s="64">
        <f t="shared" ref="AE30:AQ30" si="51">B30/B$44</f>
        <v>1.2858636397580465</v>
      </c>
      <c r="AF30" s="64">
        <f t="shared" si="51"/>
        <v>1.2878905973216184</v>
      </c>
      <c r="AG30" s="236">
        <f t="shared" si="51"/>
        <v>1.3310768805691786</v>
      </c>
      <c r="AH30" s="236">
        <f t="shared" si="51"/>
        <v>1.2557066387743803</v>
      </c>
      <c r="AI30" s="236">
        <f t="shared" si="51"/>
        <v>1.2290783307297477</v>
      </c>
      <c r="AJ30" s="236">
        <f t="shared" si="51"/>
        <v>1.1946673438293549</v>
      </c>
      <c r="AK30" s="236">
        <f t="shared" si="51"/>
        <v>1.170446265938069</v>
      </c>
      <c r="AL30" s="236">
        <f t="shared" si="51"/>
        <v>1.1502094554159186</v>
      </c>
      <c r="AM30" s="236">
        <f t="shared" si="51"/>
        <v>1.1274742382682186</v>
      </c>
      <c r="AN30" s="236">
        <f t="shared" si="51"/>
        <v>1.1488900728112235</v>
      </c>
      <c r="AO30" s="236">
        <f t="shared" si="51"/>
        <v>1.1246363573180296</v>
      </c>
      <c r="AP30" s="236">
        <f t="shared" si="51"/>
        <v>1.1264718443048014</v>
      </c>
      <c r="AQ30" s="236">
        <f t="shared" si="51"/>
        <v>1.0982689378202464</v>
      </c>
      <c r="AR30" s="236">
        <f t="shared" ref="AR30" si="52">O30/O$44</f>
        <v>1.0017180136048103</v>
      </c>
      <c r="AS30" s="236">
        <f t="shared" ref="AS30" si="53">P30/P$44</f>
        <v>1.0309237126227397</v>
      </c>
      <c r="AT30" s="236">
        <f t="shared" ref="AT30" si="54">Q30/Q$44</f>
        <v>1.1265165843982101</v>
      </c>
      <c r="AU30" s="236">
        <f t="shared" ref="AU30" si="55">R30/R$44</f>
        <v>1.2047597770618252</v>
      </c>
      <c r="AV30" s="113">
        <f t="shared" si="44"/>
        <v>1.0731051076234974</v>
      </c>
      <c r="AW30" s="2"/>
    </row>
    <row r="31" spans="1:51" ht="12" customHeight="1" x14ac:dyDescent="0.2">
      <c r="A31" s="59"/>
      <c r="B31" s="155"/>
      <c r="C31" s="155"/>
      <c r="D31" s="155"/>
      <c r="E31" s="155"/>
      <c r="F31" s="155"/>
      <c r="G31" s="155"/>
      <c r="H31" s="155"/>
      <c r="I31" s="155"/>
      <c r="J31" s="155"/>
      <c r="K31" s="171"/>
      <c r="L31" s="171"/>
      <c r="M31" s="171"/>
      <c r="N31" s="171"/>
      <c r="O31" s="171"/>
      <c r="P31" s="171"/>
      <c r="Q31" s="171"/>
      <c r="R31" s="155"/>
      <c r="S31" s="113"/>
      <c r="T31" s="59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2"/>
    </row>
    <row r="32" spans="1:51" ht="12.75" customHeight="1" x14ac:dyDescent="0.2">
      <c r="A32" s="59" t="s">
        <v>123</v>
      </c>
      <c r="B32" s="155">
        <v>690.4</v>
      </c>
      <c r="C32" s="155">
        <v>721.3</v>
      </c>
      <c r="D32" s="155">
        <v>749.6</v>
      </c>
      <c r="E32" s="155">
        <v>716.6</v>
      </c>
      <c r="F32" s="155">
        <v>745.2</v>
      </c>
      <c r="G32" s="155">
        <v>780.3</v>
      </c>
      <c r="H32" s="155">
        <v>812.2</v>
      </c>
      <c r="I32" s="155">
        <v>737.6</v>
      </c>
      <c r="J32" s="155">
        <v>745.8</v>
      </c>
      <c r="K32" s="171">
        <v>801</v>
      </c>
      <c r="L32" s="171">
        <v>817.9</v>
      </c>
      <c r="M32" s="171">
        <v>858.3</v>
      </c>
      <c r="N32" s="171">
        <v>907.7</v>
      </c>
      <c r="O32" s="171">
        <v>975.6</v>
      </c>
      <c r="P32" s="171">
        <v>1056.9000000000001</v>
      </c>
      <c r="Q32" s="171">
        <v>1091.2</v>
      </c>
      <c r="R32" s="155">
        <v>1150.9000000000001</v>
      </c>
      <c r="S32" s="113">
        <f>RATE(5,,-M32,Q32)</f>
        <v>4.9187357911200193E-2</v>
      </c>
      <c r="T32" s="59" t="str">
        <f>A32</f>
        <v>Accumulated Dep &amp; Amort</v>
      </c>
      <c r="U32" s="33" t="e">
        <f>#REF!/#REF!</f>
        <v>#REF!</v>
      </c>
      <c r="V32" s="33" t="e">
        <f>#REF!/#REF!</f>
        <v>#REF!</v>
      </c>
      <c r="W32" s="33" t="e">
        <f>#REF!/#REF!</f>
        <v>#REF!</v>
      </c>
      <c r="X32" s="33" t="e">
        <f>#REF!/#REF!</f>
        <v>#REF!</v>
      </c>
      <c r="Y32" s="33" t="e">
        <f>#REF!/#REF!</f>
        <v>#REF!</v>
      </c>
      <c r="Z32" s="33" t="e">
        <f>#REF!/#REF!</f>
        <v>#REF!</v>
      </c>
      <c r="AA32" s="33" t="e">
        <f>#REF!/#REF!</f>
        <v>#REF!</v>
      </c>
      <c r="AB32" s="33" t="e">
        <f>#REF!/#REF!</f>
        <v>#REF!</v>
      </c>
      <c r="AC32" s="33" t="e">
        <f>#REF!/#REF!</f>
        <v>#REF!</v>
      </c>
      <c r="AD32" s="33" t="e">
        <f>#REF!/#REF!</f>
        <v>#REF!</v>
      </c>
      <c r="AE32" s="33">
        <f t="shared" ref="AE32:AQ32" si="56">B32/B$44</f>
        <v>0.51557015906205661</v>
      </c>
      <c r="AF32" s="33">
        <f t="shared" si="56"/>
        <v>0.51108906681782751</v>
      </c>
      <c r="AG32" s="113">
        <f t="shared" si="56"/>
        <v>0.51778683428887196</v>
      </c>
      <c r="AH32" s="113">
        <f t="shared" si="56"/>
        <v>0.44090321786747072</v>
      </c>
      <c r="AI32" s="113">
        <f t="shared" si="56"/>
        <v>0.41575541173845126</v>
      </c>
      <c r="AJ32" s="113">
        <f t="shared" si="56"/>
        <v>0.39629253428136102</v>
      </c>
      <c r="AK32" s="113">
        <f t="shared" si="56"/>
        <v>0.36985428051001817</v>
      </c>
      <c r="AL32" s="113">
        <f t="shared" si="56"/>
        <v>0.2942748852982246</v>
      </c>
      <c r="AM32" s="113">
        <f t="shared" si="56"/>
        <v>0.27644747572095785</v>
      </c>
      <c r="AN32" s="113">
        <f t="shared" si="56"/>
        <v>0.28449653702717104</v>
      </c>
      <c r="AO32" s="113">
        <f t="shared" si="56"/>
        <v>0.2706924683353687</v>
      </c>
      <c r="AP32" s="113">
        <f t="shared" si="56"/>
        <v>0.26182051125617711</v>
      </c>
      <c r="AQ32" s="113">
        <f t="shared" si="56"/>
        <v>0.25140562248995985</v>
      </c>
      <c r="AR32" s="113">
        <f t="shared" ref="AR32" si="57">O32/O$44</f>
        <v>0.22649919903419771</v>
      </c>
      <c r="AS32" s="113">
        <f t="shared" ref="AS32" si="58">P32/P$44</f>
        <v>0.23479361976274057</v>
      </c>
      <c r="AT32" s="113">
        <f t="shared" ref="AT32" si="59">Q32/Q$44</f>
        <v>0.25169534529685844</v>
      </c>
      <c r="AU32" s="113">
        <f t="shared" ref="AU32" si="60">R32/R$44</f>
        <v>0.27065352867859749</v>
      </c>
      <c r="AV32" s="113">
        <f>SUM(M32:Q32)/SUM(M$44:Q$44)</f>
        <v>0.24408470109021202</v>
      </c>
      <c r="AW32" s="2"/>
    </row>
    <row r="33" spans="1:49" ht="12" customHeight="1" x14ac:dyDescent="0.2">
      <c r="A33" s="59"/>
      <c r="B33" s="155"/>
      <c r="C33" s="155"/>
      <c r="D33" s="155"/>
      <c r="E33" s="155"/>
      <c r="F33" s="155"/>
      <c r="G33" s="155"/>
      <c r="H33" s="155"/>
      <c r="I33" s="155"/>
      <c r="J33" s="155"/>
      <c r="K33" s="171"/>
      <c r="L33" s="171"/>
      <c r="M33" s="171"/>
      <c r="N33" s="171"/>
      <c r="O33" s="171"/>
      <c r="P33" s="171"/>
      <c r="Q33" s="171"/>
      <c r="R33" s="155"/>
      <c r="S33" s="113"/>
      <c r="T33" s="59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2"/>
    </row>
    <row r="34" spans="1:49" ht="15" x14ac:dyDescent="0.2">
      <c r="A34" s="59" t="s">
        <v>58</v>
      </c>
      <c r="B34" s="155">
        <f t="shared" ref="B34:E34" si="61">B30-B32</f>
        <v>1031.5</v>
      </c>
      <c r="C34" s="155">
        <f t="shared" si="61"/>
        <v>1096.3</v>
      </c>
      <c r="D34" s="155">
        <f>D30-D32</f>
        <v>1177.4000000000001</v>
      </c>
      <c r="E34" s="155">
        <f t="shared" si="61"/>
        <v>1324.2999999999997</v>
      </c>
      <c r="F34" s="155">
        <f t="shared" ref="F34:R34" si="62">F30-F32</f>
        <v>1457.8</v>
      </c>
      <c r="G34" s="155">
        <f t="shared" si="62"/>
        <v>1572.0000000000002</v>
      </c>
      <c r="H34" s="155">
        <f t="shared" si="62"/>
        <v>1758.1000000000001</v>
      </c>
      <c r="I34" s="155">
        <f t="shared" si="62"/>
        <v>2145.4</v>
      </c>
      <c r="J34" s="155">
        <f t="shared" si="62"/>
        <v>2295.8999999999996</v>
      </c>
      <c r="K34" s="171">
        <f t="shared" si="62"/>
        <v>2433.6999999999998</v>
      </c>
      <c r="L34" s="171">
        <f t="shared" ref="L34" si="63">L30-L32</f>
        <v>2580.1999999999998</v>
      </c>
      <c r="M34" s="171">
        <f t="shared" ref="M34:N34" si="64">M30-M32</f>
        <v>2834.5</v>
      </c>
      <c r="N34" s="171">
        <f t="shared" si="64"/>
        <v>3057.6000000000004</v>
      </c>
      <c r="O34" s="171">
        <f t="shared" ref="O34:P34" si="65">O30-O32</f>
        <v>3339.1000000000008</v>
      </c>
      <c r="P34" s="171">
        <f t="shared" si="65"/>
        <v>3583.6999999999994</v>
      </c>
      <c r="Q34" s="171">
        <f t="shared" ref="Q34" si="66">Q30-Q32</f>
        <v>3792.7</v>
      </c>
      <c r="R34" s="155">
        <f t="shared" si="62"/>
        <v>3972.1</v>
      </c>
      <c r="S34" s="113">
        <f>RATE(5,,-M34,Q34)</f>
        <v>5.9972031444407374E-2</v>
      </c>
      <c r="T34" s="59" t="str">
        <f>A34</f>
        <v>Net Plant &amp; Equipment</v>
      </c>
      <c r="U34" s="33" t="e">
        <f>#REF!/#REF!</f>
        <v>#REF!</v>
      </c>
      <c r="V34" s="33" t="e">
        <f>#REF!/#REF!</f>
        <v>#REF!</v>
      </c>
      <c r="W34" s="33" t="e">
        <f>#REF!/#REF!</f>
        <v>#REF!</v>
      </c>
      <c r="X34" s="33" t="e">
        <f>#REF!/#REF!</f>
        <v>#REF!</v>
      </c>
      <c r="Y34" s="33" t="e">
        <f>#REF!/#REF!</f>
        <v>#REF!</v>
      </c>
      <c r="Z34" s="33" t="e">
        <f>#REF!/#REF!</f>
        <v>#REF!</v>
      </c>
      <c r="AA34" s="33" t="e">
        <f>#REF!/#REF!</f>
        <v>#REF!</v>
      </c>
      <c r="AB34" s="33" t="e">
        <f>#REF!/#REF!</f>
        <v>#REF!</v>
      </c>
      <c r="AC34" s="33" t="e">
        <f>#REF!/#REF!</f>
        <v>#REF!</v>
      </c>
      <c r="AD34" s="33" t="e">
        <f>#REF!/#REF!</f>
        <v>#REF!</v>
      </c>
      <c r="AE34" s="33">
        <f t="shared" ref="AE34:AQ34" si="67">B34/B$44</f>
        <v>0.77029348069598991</v>
      </c>
      <c r="AF34" s="33">
        <f t="shared" si="67"/>
        <v>0.77680153050379086</v>
      </c>
      <c r="AG34" s="113">
        <f t="shared" si="67"/>
        <v>0.81329004628030677</v>
      </c>
      <c r="AH34" s="113">
        <f t="shared" si="67"/>
        <v>0.81480342090690949</v>
      </c>
      <c r="AI34" s="113">
        <f t="shared" si="67"/>
        <v>0.8133229189912965</v>
      </c>
      <c r="AJ34" s="113">
        <f t="shared" si="67"/>
        <v>0.79837480954799389</v>
      </c>
      <c r="AK34" s="113">
        <f t="shared" si="67"/>
        <v>0.80059198542805088</v>
      </c>
      <c r="AL34" s="113">
        <f t="shared" si="67"/>
        <v>0.85593457011769403</v>
      </c>
      <c r="AM34" s="113">
        <f t="shared" si="67"/>
        <v>0.85102676254726073</v>
      </c>
      <c r="AN34" s="113">
        <f t="shared" si="67"/>
        <v>0.86439353578405254</v>
      </c>
      <c r="AO34" s="113">
        <f t="shared" si="67"/>
        <v>0.85394388898266083</v>
      </c>
      <c r="AP34" s="113">
        <f t="shared" si="67"/>
        <v>0.86465133304862418</v>
      </c>
      <c r="AQ34" s="113">
        <f t="shared" si="67"/>
        <v>0.84686331533028669</v>
      </c>
      <c r="AR34" s="113">
        <f t="shared" ref="AR34" si="68">O34/O$44</f>
        <v>0.7752188145706127</v>
      </c>
      <c r="AS34" s="113">
        <f t="shared" ref="AS34" si="69">P34/P$44</f>
        <v>0.79613009285999925</v>
      </c>
      <c r="AT34" s="113">
        <f t="shared" ref="AT34" si="70">Q34/Q$44</f>
        <v>0.87482123910135168</v>
      </c>
      <c r="AU34" s="113">
        <f t="shared" ref="AU34" si="71">R34/R$44</f>
        <v>0.93410624838322787</v>
      </c>
      <c r="AV34" s="113">
        <f>SUM(M34:Q34)/SUM(M$44:Q$44)</f>
        <v>0.82902040653328524</v>
      </c>
      <c r="AW34" s="2"/>
    </row>
    <row r="35" spans="1:49" ht="12" customHeight="1" x14ac:dyDescent="0.2">
      <c r="A35" s="59"/>
      <c r="B35" s="155"/>
      <c r="C35" s="155"/>
      <c r="D35" s="155"/>
      <c r="E35" s="155"/>
      <c r="F35" s="155"/>
      <c r="G35" s="155"/>
      <c r="H35" s="155"/>
      <c r="I35" s="155"/>
      <c r="J35" s="155"/>
      <c r="K35" s="171"/>
      <c r="L35" s="171"/>
      <c r="M35" s="171"/>
      <c r="N35" s="171"/>
      <c r="O35" s="171"/>
      <c r="P35" s="171"/>
      <c r="Q35" s="171"/>
      <c r="R35" s="155"/>
      <c r="S35" s="113"/>
      <c r="T35" s="59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2"/>
    </row>
    <row r="36" spans="1:49" ht="15.75" x14ac:dyDescent="0.25">
      <c r="A36" s="81" t="s">
        <v>71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71"/>
      <c r="L36" s="171"/>
      <c r="M36" s="171"/>
      <c r="N36" s="171"/>
      <c r="O36" s="171"/>
      <c r="P36" s="171"/>
      <c r="Q36" s="171"/>
      <c r="R36" s="155"/>
      <c r="S36" s="113"/>
      <c r="T36" s="81" t="str">
        <f>A36</f>
        <v>Other Assets: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2"/>
    </row>
    <row r="37" spans="1:49" ht="15" x14ac:dyDescent="0.2">
      <c r="A37" s="59" t="s">
        <v>59</v>
      </c>
      <c r="B37" s="155">
        <v>16</v>
      </c>
      <c r="C37" s="155">
        <v>15</v>
      </c>
      <c r="D37" s="155">
        <v>15.1</v>
      </c>
      <c r="E37" s="155">
        <v>16.399999999999999</v>
      </c>
      <c r="F37" s="155">
        <v>16.100000000000001</v>
      </c>
      <c r="G37" s="155">
        <v>21.3</v>
      </c>
      <c r="H37" s="155">
        <v>11.9</v>
      </c>
      <c r="I37" s="155">
        <v>5.5</v>
      </c>
      <c r="J37" s="155"/>
      <c r="K37" s="171"/>
      <c r="L37" s="171"/>
      <c r="M37" s="171"/>
      <c r="N37" s="171"/>
      <c r="O37" s="171"/>
      <c r="P37" s="171">
        <v>12.7</v>
      </c>
      <c r="Q37" s="171">
        <v>32.700000000000003</v>
      </c>
      <c r="R37" s="155">
        <v>26.9</v>
      </c>
      <c r="S37" s="113"/>
      <c r="T37" s="59" t="str">
        <f>A37</f>
        <v>Regulatory Assets</v>
      </c>
      <c r="U37" s="33" t="e">
        <f>#REF!/#REF!</f>
        <v>#REF!</v>
      </c>
      <c r="V37" s="33" t="e">
        <f>#REF!/#REF!</f>
        <v>#REF!</v>
      </c>
      <c r="W37" s="33" t="e">
        <f>#REF!/#REF!</f>
        <v>#REF!</v>
      </c>
      <c r="X37" s="33" t="e">
        <f>#REF!/#REF!</f>
        <v>#REF!</v>
      </c>
      <c r="Y37" s="33" t="e">
        <f>#REF!/#REF!</f>
        <v>#REF!</v>
      </c>
      <c r="Z37" s="33" t="e">
        <f>#REF!/#REF!</f>
        <v>#REF!</v>
      </c>
      <c r="AA37" s="33" t="e">
        <f>#REF!/#REF!</f>
        <v>#REF!</v>
      </c>
      <c r="AB37" s="33" t="e">
        <f>#REF!/#REF!</f>
        <v>#REF!</v>
      </c>
      <c r="AC37" s="33" t="e">
        <f>#REF!/#REF!</f>
        <v>#REF!</v>
      </c>
      <c r="AD37" s="33" t="e">
        <f>#REF!/#REF!</f>
        <v>#REF!</v>
      </c>
      <c r="AE37" s="33">
        <f t="shared" ref="AE37:AL37" si="72">B37/B$44</f>
        <v>1.1948323500858787E-2</v>
      </c>
      <c r="AF37" s="33">
        <f t="shared" si="72"/>
        <v>1.0628498547438532E-2</v>
      </c>
      <c r="AG37" s="113">
        <f t="shared" si="72"/>
        <v>1.0430337777163776E-2</v>
      </c>
      <c r="AH37" s="113">
        <f t="shared" si="72"/>
        <v>1.009044484095244E-2</v>
      </c>
      <c r="AI37" s="113">
        <f t="shared" si="72"/>
        <v>8.9823700066949345E-3</v>
      </c>
      <c r="AJ37" s="113">
        <f t="shared" si="72"/>
        <v>1.0817673946165566E-2</v>
      </c>
      <c r="AK37" s="113">
        <f t="shared" si="72"/>
        <v>5.4189435336976311E-3</v>
      </c>
      <c r="AL37" s="113">
        <f t="shared" si="72"/>
        <v>2.1942948334330741E-3</v>
      </c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2"/>
    </row>
    <row r="38" spans="1:49" ht="15" x14ac:dyDescent="0.2">
      <c r="A38" s="59" t="s">
        <v>237</v>
      </c>
      <c r="B38" s="155"/>
      <c r="C38" s="155"/>
      <c r="D38" s="155"/>
      <c r="E38" s="155"/>
      <c r="F38" s="155"/>
      <c r="G38" s="155"/>
      <c r="H38" s="155"/>
      <c r="I38" s="155">
        <v>87.8</v>
      </c>
      <c r="J38" s="155">
        <v>107.1</v>
      </c>
      <c r="K38" s="171">
        <v>112.5</v>
      </c>
      <c r="L38" s="171">
        <v>117.2</v>
      </c>
      <c r="M38" s="171">
        <v>124.3</v>
      </c>
      <c r="N38" s="171">
        <v>136.30000000000001</v>
      </c>
      <c r="O38" s="171">
        <v>156.6</v>
      </c>
      <c r="P38" s="171">
        <v>183.7</v>
      </c>
      <c r="Q38" s="171"/>
      <c r="R38" s="155"/>
      <c r="S38" s="113">
        <f>RATE(5,,-M38,Q38)</f>
        <v>-0.99999940914518248</v>
      </c>
      <c r="T38" s="59" t="str">
        <f>+A38</f>
        <v>Receivable from Affiliates</v>
      </c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13"/>
      <c r="AH38" s="113"/>
      <c r="AI38" s="113"/>
      <c r="AJ38" s="113"/>
      <c r="AK38" s="113"/>
      <c r="AL38" s="113">
        <f t="shared" ref="AL38:AQ38" si="73">I38/I$44</f>
        <v>3.5028924795531616E-2</v>
      </c>
      <c r="AM38" s="113">
        <f t="shared" si="73"/>
        <v>3.9699014011416713E-2</v>
      </c>
      <c r="AN38" s="113">
        <f t="shared" si="73"/>
        <v>3.9957378795950987E-2</v>
      </c>
      <c r="AO38" s="113">
        <f t="shared" si="73"/>
        <v>3.8788552743495797E-2</v>
      </c>
      <c r="AP38" s="113">
        <f t="shared" si="73"/>
        <v>3.7917149655298632E-2</v>
      </c>
      <c r="AQ38" s="113">
        <f t="shared" si="73"/>
        <v>3.7751004016064259E-2</v>
      </c>
      <c r="AR38" s="113">
        <f t="shared" ref="AR38" si="74">O38/O$44</f>
        <v>3.6356882501799262E-2</v>
      </c>
      <c r="AS38" s="113">
        <f t="shared" ref="AS38" si="75">P38/P$44</f>
        <v>4.0809525925267702E-2</v>
      </c>
      <c r="AT38" s="113">
        <f t="shared" ref="AT38" si="76">Q38/Q$44</f>
        <v>0</v>
      </c>
      <c r="AU38" s="113">
        <f t="shared" ref="AU38" si="77">R38/R$44</f>
        <v>0</v>
      </c>
      <c r="AV38" s="113">
        <f>SUM(M38:Q38)/SUM(M$44:Q$44)</f>
        <v>2.9995806876722177E-2</v>
      </c>
      <c r="AW38" s="2"/>
    </row>
    <row r="39" spans="1:49" ht="15" x14ac:dyDescent="0.2">
      <c r="A39" s="59" t="s">
        <v>267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71"/>
      <c r="L39" s="171"/>
      <c r="M39" s="171"/>
      <c r="N39" s="171"/>
      <c r="O39" s="171"/>
      <c r="P39" s="171"/>
      <c r="Q39" s="171"/>
      <c r="R39" s="155"/>
      <c r="S39" s="113"/>
      <c r="T39" s="59" t="str">
        <f>+A39</f>
        <v>Deferred Tax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2"/>
    </row>
    <row r="40" spans="1:49" ht="15" x14ac:dyDescent="0.2">
      <c r="A40" s="59" t="s">
        <v>93</v>
      </c>
      <c r="B40" s="187">
        <v>5.6</v>
      </c>
      <c r="C40" s="187">
        <v>5.6</v>
      </c>
      <c r="D40" s="187">
        <v>5.6</v>
      </c>
      <c r="E40" s="187">
        <v>5.6</v>
      </c>
      <c r="F40" s="187">
        <v>5.6</v>
      </c>
      <c r="G40" s="187">
        <v>5.6</v>
      </c>
      <c r="H40" s="187">
        <v>5.6</v>
      </c>
      <c r="I40" s="187">
        <v>5.6</v>
      </c>
      <c r="J40" s="187">
        <v>5.6</v>
      </c>
      <c r="K40" s="282">
        <v>5.6</v>
      </c>
      <c r="L40" s="282">
        <v>5.6</v>
      </c>
      <c r="M40" s="282"/>
      <c r="N40" s="282"/>
      <c r="O40" s="282"/>
      <c r="P40" s="282"/>
      <c r="Q40" s="282"/>
      <c r="R40" s="187"/>
      <c r="S40" s="113"/>
      <c r="T40" s="59" t="str">
        <f>A40</f>
        <v>Goodwill</v>
      </c>
      <c r="U40" s="33" t="e">
        <f>#REF!/#REF!</f>
        <v>#REF!</v>
      </c>
      <c r="V40" s="33" t="e">
        <f>#REF!/#REF!</f>
        <v>#REF!</v>
      </c>
      <c r="W40" s="33" t="e">
        <f>#REF!/#REF!</f>
        <v>#REF!</v>
      </c>
      <c r="X40" s="33" t="e">
        <f>#REF!/#REF!</f>
        <v>#REF!</v>
      </c>
      <c r="Y40" s="33" t="e">
        <f>#REF!/#REF!</f>
        <v>#REF!</v>
      </c>
      <c r="Z40" s="33" t="e">
        <f>#REF!/#REF!</f>
        <v>#REF!</v>
      </c>
      <c r="AA40" s="33" t="e">
        <f>#REF!/#REF!</f>
        <v>#REF!</v>
      </c>
      <c r="AB40" s="33" t="e">
        <f>#REF!/#REF!</f>
        <v>#REF!</v>
      </c>
      <c r="AC40" s="33" t="e">
        <f>#REF!/#REF!</f>
        <v>#REF!</v>
      </c>
      <c r="AD40" s="33" t="e">
        <f>#REF!/#REF!</f>
        <v>#REF!</v>
      </c>
      <c r="AE40" s="33">
        <f t="shared" ref="AE40:AQ44" si="78">B40/B$44</f>
        <v>4.1819132253005748E-3</v>
      </c>
      <c r="AF40" s="33">
        <f t="shared" si="78"/>
        <v>3.9679727910437185E-3</v>
      </c>
      <c r="AG40" s="113">
        <f t="shared" si="78"/>
        <v>3.8682047385508044E-3</v>
      </c>
      <c r="AH40" s="113">
        <f t="shared" si="78"/>
        <v>3.4455177505691259E-3</v>
      </c>
      <c r="AI40" s="113">
        <f t="shared" si="78"/>
        <v>3.1243026110243247E-3</v>
      </c>
      <c r="AJ40" s="113">
        <f t="shared" si="78"/>
        <v>2.8440832910106646E-3</v>
      </c>
      <c r="AK40" s="113">
        <f t="shared" si="78"/>
        <v>2.5500910746812377E-3</v>
      </c>
      <c r="AL40" s="113">
        <f t="shared" si="78"/>
        <v>2.2341911031318572E-3</v>
      </c>
      <c r="AM40" s="113">
        <f t="shared" si="78"/>
        <v>2.0757654385054488E-3</v>
      </c>
      <c r="AN40" s="113">
        <f t="shared" si="78"/>
        <v>1.988989522287338E-3</v>
      </c>
      <c r="AO40" s="113">
        <f t="shared" si="78"/>
        <v>1.853377946788195E-3</v>
      </c>
      <c r="AP40" s="113">
        <f t="shared" si="78"/>
        <v>0</v>
      </c>
      <c r="AQ40" s="113">
        <f t="shared" si="78"/>
        <v>0</v>
      </c>
      <c r="AR40" s="113">
        <f t="shared" ref="AR40:AR44" si="79">O40/O$44</f>
        <v>0</v>
      </c>
      <c r="AS40" s="113">
        <f t="shared" ref="AS40:AS44" si="80">P40/P$44</f>
        <v>0</v>
      </c>
      <c r="AT40" s="113">
        <f t="shared" ref="AT40:AT44" si="81">Q40/Q$44</f>
        <v>0</v>
      </c>
      <c r="AU40" s="113">
        <f t="shared" ref="AU40:AU44" si="82">R40/R$44</f>
        <v>0</v>
      </c>
      <c r="AV40" s="113">
        <f t="shared" ref="AV40:AV44" si="83">SUM(M40:Q40)/SUM(M$44:Q$44)</f>
        <v>0</v>
      </c>
      <c r="AW40" s="2"/>
    </row>
    <row r="41" spans="1:49" ht="15" x14ac:dyDescent="0.2">
      <c r="A41" s="59" t="s">
        <v>94</v>
      </c>
      <c r="B41" s="155">
        <v>7</v>
      </c>
      <c r="C41" s="155">
        <v>2.6</v>
      </c>
      <c r="D41" s="155">
        <v>2.2999999999999998</v>
      </c>
      <c r="E41" s="155">
        <v>3.1</v>
      </c>
      <c r="F41" s="155">
        <v>4</v>
      </c>
      <c r="G41" s="155">
        <v>3.7</v>
      </c>
      <c r="H41" s="155">
        <v>3.4</v>
      </c>
      <c r="I41" s="155">
        <v>0.1</v>
      </c>
      <c r="J41" s="155">
        <v>7.2</v>
      </c>
      <c r="K41" s="171">
        <v>14.7</v>
      </c>
      <c r="L41" s="171">
        <f>23.6-5.6</f>
        <v>18</v>
      </c>
      <c r="M41" s="171">
        <v>25.6</v>
      </c>
      <c r="N41" s="171">
        <v>31.8</v>
      </c>
      <c r="O41" s="171">
        <v>36.200000000000003</v>
      </c>
      <c r="P41" s="171">
        <v>18.8</v>
      </c>
      <c r="Q41" s="171">
        <v>41</v>
      </c>
      <c r="R41" s="155">
        <v>48.3</v>
      </c>
      <c r="S41" s="113">
        <f t="shared" ref="S41:S44" si="84">RATE(5,,-M41,Q41)</f>
        <v>9.8775022147970001E-2</v>
      </c>
      <c r="T41" s="59" t="str">
        <f>A41</f>
        <v>Other Non-Current Assets</v>
      </c>
      <c r="U41" s="33" t="e">
        <f>#REF!/#REF!</f>
        <v>#REF!</v>
      </c>
      <c r="V41" s="33" t="e">
        <f>#REF!/#REF!</f>
        <v>#REF!</v>
      </c>
      <c r="W41" s="33" t="e">
        <f>#REF!/#REF!</f>
        <v>#REF!</v>
      </c>
      <c r="X41" s="33" t="e">
        <f>#REF!/#REF!</f>
        <v>#REF!</v>
      </c>
      <c r="Y41" s="33" t="e">
        <f>#REF!/#REF!</f>
        <v>#REF!</v>
      </c>
      <c r="Z41" s="33" t="e">
        <f>#REF!/#REF!</f>
        <v>#REF!</v>
      </c>
      <c r="AA41" s="33" t="e">
        <f>#REF!/#REF!</f>
        <v>#REF!</v>
      </c>
      <c r="AB41" s="33" t="e">
        <f>#REF!/#REF!</f>
        <v>#REF!</v>
      </c>
      <c r="AC41" s="33" t="e">
        <f>#REF!/#REF!</f>
        <v>#REF!</v>
      </c>
      <c r="AD41" s="33" t="e">
        <f>#REF!/#REF!</f>
        <v>#REF!</v>
      </c>
      <c r="AE41" s="33">
        <f t="shared" si="78"/>
        <v>5.2273915316257188E-3</v>
      </c>
      <c r="AF41" s="33">
        <f t="shared" si="78"/>
        <v>1.8422730815560123E-3</v>
      </c>
      <c r="AG41" s="113">
        <f t="shared" si="78"/>
        <v>1.5887269461905089E-3</v>
      </c>
      <c r="AH41" s="113">
        <f t="shared" si="78"/>
        <v>1.9073401833507664E-3</v>
      </c>
      <c r="AI41" s="113">
        <f t="shared" si="78"/>
        <v>2.2316447221602319E-3</v>
      </c>
      <c r="AJ41" s="113">
        <f t="shared" si="78"/>
        <v>1.8791264601320467E-3</v>
      </c>
      <c r="AK41" s="113">
        <f t="shared" si="78"/>
        <v>1.5482695810564659E-3</v>
      </c>
      <c r="AL41" s="113">
        <f t="shared" si="78"/>
        <v>3.9896269698783169E-5</v>
      </c>
      <c r="AM41" s="113">
        <f t="shared" si="78"/>
        <v>2.6688412780784348E-3</v>
      </c>
      <c r="AN41" s="113">
        <f t="shared" si="78"/>
        <v>5.221097496004262E-3</v>
      </c>
      <c r="AO41" s="113">
        <f t="shared" si="78"/>
        <v>5.9572862575334841E-3</v>
      </c>
      <c r="AP41" s="113">
        <f t="shared" si="78"/>
        <v>7.8091635653712403E-3</v>
      </c>
      <c r="AQ41" s="113">
        <f t="shared" si="78"/>
        <v>8.8076443705857911E-3</v>
      </c>
      <c r="AR41" s="113">
        <f t="shared" si="79"/>
        <v>8.4043368235321419E-3</v>
      </c>
      <c r="AS41" s="113">
        <f t="shared" si="80"/>
        <v>4.1764784289332222E-3</v>
      </c>
      <c r="AT41" s="113">
        <f t="shared" si="81"/>
        <v>9.4570281865571804E-3</v>
      </c>
      <c r="AU41" s="113">
        <f t="shared" si="82"/>
        <v>1.1358558897537802E-2</v>
      </c>
      <c r="AV41" s="113">
        <f t="shared" si="83"/>
        <v>7.6574417954554524E-3</v>
      </c>
      <c r="AW41" s="2"/>
    </row>
    <row r="42" spans="1:49" ht="15" x14ac:dyDescent="0.2">
      <c r="A42" s="59" t="s">
        <v>72</v>
      </c>
      <c r="B42" s="178">
        <f t="shared" ref="B42:R42" si="85">SUM(B37:B41)</f>
        <v>28.6</v>
      </c>
      <c r="C42" s="178">
        <f t="shared" si="85"/>
        <v>23.200000000000003</v>
      </c>
      <c r="D42" s="178">
        <f t="shared" si="85"/>
        <v>23</v>
      </c>
      <c r="E42" s="178">
        <f t="shared" si="85"/>
        <v>25.1</v>
      </c>
      <c r="F42" s="178">
        <f t="shared" si="85"/>
        <v>25.700000000000003</v>
      </c>
      <c r="G42" s="178">
        <f t="shared" si="85"/>
        <v>30.599999999999998</v>
      </c>
      <c r="H42" s="178">
        <f t="shared" si="85"/>
        <v>20.9</v>
      </c>
      <c r="I42" s="178">
        <f t="shared" si="85"/>
        <v>98.999999999999986</v>
      </c>
      <c r="J42" s="178">
        <f t="shared" si="85"/>
        <v>119.89999999999999</v>
      </c>
      <c r="K42" s="193">
        <f t="shared" si="85"/>
        <v>132.79999999999998</v>
      </c>
      <c r="L42" s="193">
        <f t="shared" ref="L42:M42" si="86">SUM(L37:L41)</f>
        <v>140.80000000000001</v>
      </c>
      <c r="M42" s="193">
        <f t="shared" si="86"/>
        <v>149.9</v>
      </c>
      <c r="N42" s="193">
        <f t="shared" ref="N42:P42" si="87">SUM(N37:N41)</f>
        <v>168.10000000000002</v>
      </c>
      <c r="O42" s="193">
        <f t="shared" si="87"/>
        <v>192.8</v>
      </c>
      <c r="P42" s="193">
        <f t="shared" si="87"/>
        <v>215.2</v>
      </c>
      <c r="Q42" s="193">
        <f t="shared" ref="Q42" si="88">SUM(Q37:Q41)</f>
        <v>73.7</v>
      </c>
      <c r="R42" s="178">
        <f t="shared" si="85"/>
        <v>75.199999999999989</v>
      </c>
      <c r="S42" s="113">
        <f t="shared" si="84"/>
        <v>-0.1323727752853793</v>
      </c>
      <c r="T42" s="59" t="s">
        <v>72</v>
      </c>
      <c r="U42" s="64" t="e">
        <f>#REF!/#REF!</f>
        <v>#REF!</v>
      </c>
      <c r="V42" s="64" t="e">
        <f>#REF!/#REF!</f>
        <v>#REF!</v>
      </c>
      <c r="W42" s="64" t="e">
        <f>#REF!/#REF!</f>
        <v>#REF!</v>
      </c>
      <c r="X42" s="64" t="e">
        <f>#REF!/#REF!</f>
        <v>#REF!</v>
      </c>
      <c r="Y42" s="64" t="e">
        <f>#REF!/#REF!</f>
        <v>#REF!</v>
      </c>
      <c r="Z42" s="64" t="e">
        <f>#REF!/#REF!</f>
        <v>#REF!</v>
      </c>
      <c r="AA42" s="64" t="e">
        <f>#REF!/#REF!</f>
        <v>#REF!</v>
      </c>
      <c r="AB42" s="64" t="e">
        <f>#REF!/#REF!</f>
        <v>#REF!</v>
      </c>
      <c r="AC42" s="64" t="e">
        <f>#REF!/#REF!</f>
        <v>#REF!</v>
      </c>
      <c r="AD42" s="64" t="e">
        <f>#REF!/#REF!</f>
        <v>#REF!</v>
      </c>
      <c r="AE42" s="64">
        <f t="shared" si="78"/>
        <v>2.1357628257785082E-2</v>
      </c>
      <c r="AF42" s="64">
        <f t="shared" si="78"/>
        <v>1.6438744420038266E-2</v>
      </c>
      <c r="AG42" s="236">
        <f t="shared" si="78"/>
        <v>1.588726946190509E-2</v>
      </c>
      <c r="AH42" s="236">
        <f t="shared" si="78"/>
        <v>1.5443302774872335E-2</v>
      </c>
      <c r="AI42" s="236">
        <f t="shared" si="78"/>
        <v>1.4338317339879492E-2</v>
      </c>
      <c r="AJ42" s="236">
        <f t="shared" si="78"/>
        <v>1.5540883697308275E-2</v>
      </c>
      <c r="AK42" s="236">
        <f t="shared" si="78"/>
        <v>9.5173041894353345E-3</v>
      </c>
      <c r="AL42" s="236">
        <f t="shared" si="78"/>
        <v>3.9497307001795323E-2</v>
      </c>
      <c r="AM42" s="236">
        <f t="shared" si="78"/>
        <v>4.4443620728000593E-2</v>
      </c>
      <c r="AN42" s="236">
        <f t="shared" si="78"/>
        <v>4.7167465814242582E-2</v>
      </c>
      <c r="AO42" s="236">
        <f t="shared" si="78"/>
        <v>4.6599216947817483E-2</v>
      </c>
      <c r="AP42" s="236">
        <f t="shared" si="78"/>
        <v>4.5726313220669876E-2</v>
      </c>
      <c r="AQ42" s="236">
        <f t="shared" si="78"/>
        <v>4.6558648386650046E-2</v>
      </c>
      <c r="AR42" s="236">
        <f t="shared" si="79"/>
        <v>4.4761219325331406E-2</v>
      </c>
      <c r="AS42" s="236">
        <f t="shared" si="80"/>
        <v>4.7807348824810067E-2</v>
      </c>
      <c r="AT42" s="236">
        <f t="shared" si="81"/>
        <v>1.6999584813396688E-2</v>
      </c>
      <c r="AU42" s="236">
        <f t="shared" si="82"/>
        <v>1.7684547186228625E-2</v>
      </c>
      <c r="AV42" s="113">
        <f t="shared" si="83"/>
        <v>3.9919531967573176E-2</v>
      </c>
      <c r="AW42" s="2"/>
    </row>
    <row r="43" spans="1:49" ht="15" x14ac:dyDescent="0.2">
      <c r="A43" s="59" t="s">
        <v>41</v>
      </c>
      <c r="B43" s="178">
        <f t="shared" ref="B43:R43" si="89">B34+B42</f>
        <v>1060.0999999999999</v>
      </c>
      <c r="C43" s="178">
        <f t="shared" si="89"/>
        <v>1119.5</v>
      </c>
      <c r="D43" s="178">
        <f t="shared" si="89"/>
        <v>1200.4000000000001</v>
      </c>
      <c r="E43" s="178">
        <f t="shared" si="89"/>
        <v>1349.3999999999996</v>
      </c>
      <c r="F43" s="178">
        <f t="shared" si="89"/>
        <v>1483.5</v>
      </c>
      <c r="G43" s="178">
        <f t="shared" si="89"/>
        <v>1602.6000000000001</v>
      </c>
      <c r="H43" s="178">
        <f t="shared" si="89"/>
        <v>1779.0000000000002</v>
      </c>
      <c r="I43" s="178">
        <f t="shared" si="89"/>
        <v>2244.4</v>
      </c>
      <c r="J43" s="178">
        <f t="shared" si="89"/>
        <v>2415.7999999999997</v>
      </c>
      <c r="K43" s="193">
        <f t="shared" si="89"/>
        <v>2566.5</v>
      </c>
      <c r="L43" s="193">
        <f t="shared" ref="L43:M43" si="90">L34+L42</f>
        <v>2721</v>
      </c>
      <c r="M43" s="193">
        <f t="shared" si="90"/>
        <v>2984.4</v>
      </c>
      <c r="N43" s="193">
        <f t="shared" ref="N43:P43" si="91">N34+N42</f>
        <v>3225.7000000000003</v>
      </c>
      <c r="O43" s="193">
        <f t="shared" si="91"/>
        <v>3531.900000000001</v>
      </c>
      <c r="P43" s="193">
        <f t="shared" si="91"/>
        <v>3798.8999999999992</v>
      </c>
      <c r="Q43" s="193">
        <f t="shared" ref="Q43" si="92">Q34+Q42</f>
        <v>3866.3999999999996</v>
      </c>
      <c r="R43" s="178">
        <f t="shared" si="89"/>
        <v>4047.2999999999997</v>
      </c>
      <c r="S43" s="113">
        <f t="shared" si="84"/>
        <v>5.3149316334713557E-2</v>
      </c>
      <c r="T43" s="59" t="s">
        <v>41</v>
      </c>
      <c r="U43" s="64" t="e">
        <f>#REF!/#REF!</f>
        <v>#REF!</v>
      </c>
      <c r="V43" s="64" t="e">
        <f>#REF!/#REF!</f>
        <v>#REF!</v>
      </c>
      <c r="W43" s="64" t="e">
        <f>#REF!/#REF!</f>
        <v>#REF!</v>
      </c>
      <c r="X43" s="64" t="e">
        <f>#REF!/#REF!</f>
        <v>#REF!</v>
      </c>
      <c r="Y43" s="64" t="e">
        <f>#REF!/#REF!</f>
        <v>#REF!</v>
      </c>
      <c r="Z43" s="64" t="e">
        <f>#REF!/#REF!</f>
        <v>#REF!</v>
      </c>
      <c r="AA43" s="64" t="e">
        <f>#REF!/#REF!</f>
        <v>#REF!</v>
      </c>
      <c r="AB43" s="64" t="e">
        <f>#REF!/#REF!</f>
        <v>#REF!</v>
      </c>
      <c r="AC43" s="64" t="e">
        <f>#REF!/#REF!</f>
        <v>#REF!</v>
      </c>
      <c r="AD43" s="64" t="e">
        <f>#REF!/#REF!</f>
        <v>#REF!</v>
      </c>
      <c r="AE43" s="64">
        <f t="shared" si="78"/>
        <v>0.79165110895377488</v>
      </c>
      <c r="AF43" s="64">
        <f t="shared" si="78"/>
        <v>0.79324027492382909</v>
      </c>
      <c r="AG43" s="236">
        <f t="shared" si="78"/>
        <v>0.82917731574221187</v>
      </c>
      <c r="AH43" s="236">
        <f t="shared" si="78"/>
        <v>0.83024672368178176</v>
      </c>
      <c r="AI43" s="236">
        <f t="shared" si="78"/>
        <v>0.82766123633117605</v>
      </c>
      <c r="AJ43" s="236">
        <f t="shared" si="78"/>
        <v>0.81391569324530211</v>
      </c>
      <c r="AK43" s="236">
        <f t="shared" si="78"/>
        <v>0.81010928961748629</v>
      </c>
      <c r="AL43" s="236">
        <f t="shared" si="78"/>
        <v>0.89543187711948935</v>
      </c>
      <c r="AM43" s="236">
        <f t="shared" si="78"/>
        <v>0.89547038327526129</v>
      </c>
      <c r="AN43" s="236">
        <f t="shared" si="78"/>
        <v>0.91156100159829512</v>
      </c>
      <c r="AO43" s="236">
        <f t="shared" si="78"/>
        <v>0.90054310593047837</v>
      </c>
      <c r="AP43" s="236">
        <f t="shared" si="78"/>
        <v>0.91037764626929407</v>
      </c>
      <c r="AQ43" s="236">
        <f t="shared" si="78"/>
        <v>0.89342196371693672</v>
      </c>
      <c r="AR43" s="236">
        <f t="shared" si="79"/>
        <v>0.81998003389594409</v>
      </c>
      <c r="AS43" s="236">
        <f t="shared" si="80"/>
        <v>0.84393744168480922</v>
      </c>
      <c r="AT43" s="236">
        <f t="shared" si="81"/>
        <v>0.89182082391474837</v>
      </c>
      <c r="AU43" s="236">
        <f t="shared" si="82"/>
        <v>0.95179079556945645</v>
      </c>
      <c r="AV43" s="113">
        <f t="shared" si="83"/>
        <v>0.8689399385008586</v>
      </c>
      <c r="AW43" s="2"/>
    </row>
    <row r="44" spans="1:49" ht="15.75" thickBot="1" x14ac:dyDescent="0.25">
      <c r="A44" s="59" t="s">
        <v>36</v>
      </c>
      <c r="B44" s="178">
        <f t="shared" ref="B44:C44" si="93">B24+B34+B42</f>
        <v>1339.1</v>
      </c>
      <c r="C44" s="178">
        <f t="shared" si="93"/>
        <v>1411.3</v>
      </c>
      <c r="D44" s="178">
        <f t="shared" ref="D44:R44" si="94">D24+D34+D42</f>
        <v>1447.7</v>
      </c>
      <c r="E44" s="178">
        <f t="shared" si="94"/>
        <v>1625.2999999999997</v>
      </c>
      <c r="F44" s="178">
        <f t="shared" si="94"/>
        <v>1792.4</v>
      </c>
      <c r="G44" s="178">
        <f t="shared" si="94"/>
        <v>1969.0000000000002</v>
      </c>
      <c r="H44" s="178">
        <f t="shared" si="94"/>
        <v>2196.0000000000005</v>
      </c>
      <c r="I44" s="178">
        <f t="shared" si="94"/>
        <v>2506.5</v>
      </c>
      <c r="J44" s="178">
        <f t="shared" si="94"/>
        <v>2697.7999999999997</v>
      </c>
      <c r="K44" s="193">
        <f t="shared" si="94"/>
        <v>2815.5</v>
      </c>
      <c r="L44" s="193">
        <f t="shared" ref="L44:M44" si="95">L24+L34+L42</f>
        <v>3021.51</v>
      </c>
      <c r="M44" s="193">
        <f t="shared" si="95"/>
        <v>3278.2000000000003</v>
      </c>
      <c r="N44" s="193">
        <f t="shared" ref="N44:P44" si="96">N24+N34+N42</f>
        <v>3610.5000000000005</v>
      </c>
      <c r="O44" s="193">
        <f t="shared" si="96"/>
        <v>4307.3000000000011</v>
      </c>
      <c r="P44" s="193">
        <f t="shared" si="96"/>
        <v>4501.3999999999987</v>
      </c>
      <c r="Q44" s="193">
        <f t="shared" ref="Q44" si="97">Q24+Q34+Q42</f>
        <v>4335.3999999999996</v>
      </c>
      <c r="R44" s="178">
        <f t="shared" si="94"/>
        <v>4252.3</v>
      </c>
      <c r="S44" s="113">
        <f t="shared" si="84"/>
        <v>5.7496029563234421E-2</v>
      </c>
      <c r="T44" s="59" t="s">
        <v>36</v>
      </c>
      <c r="U44" s="65" t="e">
        <f>#REF!/#REF!</f>
        <v>#REF!</v>
      </c>
      <c r="V44" s="65" t="e">
        <f>#REF!/#REF!</f>
        <v>#REF!</v>
      </c>
      <c r="W44" s="65" t="e">
        <f>#REF!/#REF!</f>
        <v>#REF!</v>
      </c>
      <c r="X44" s="65" t="e">
        <f>#REF!/#REF!</f>
        <v>#REF!</v>
      </c>
      <c r="Y44" s="65" t="e">
        <f>#REF!/#REF!</f>
        <v>#REF!</v>
      </c>
      <c r="Z44" s="65" t="e">
        <f>#REF!/#REF!</f>
        <v>#REF!</v>
      </c>
      <c r="AA44" s="65" t="e">
        <f>#REF!/#REF!</f>
        <v>#REF!</v>
      </c>
      <c r="AB44" s="65" t="e">
        <f>#REF!/#REF!</f>
        <v>#REF!</v>
      </c>
      <c r="AC44" s="65" t="e">
        <f>#REF!/#REF!</f>
        <v>#REF!</v>
      </c>
      <c r="AD44" s="65" t="e">
        <f>#REF!/#REF!</f>
        <v>#REF!</v>
      </c>
      <c r="AE44" s="65">
        <f t="shared" si="78"/>
        <v>1</v>
      </c>
      <c r="AF44" s="65">
        <f t="shared" si="78"/>
        <v>1</v>
      </c>
      <c r="AG44" s="231">
        <f t="shared" si="78"/>
        <v>1</v>
      </c>
      <c r="AH44" s="231">
        <f t="shared" si="78"/>
        <v>1</v>
      </c>
      <c r="AI44" s="231">
        <f t="shared" si="78"/>
        <v>1</v>
      </c>
      <c r="AJ44" s="231">
        <f t="shared" si="78"/>
        <v>1</v>
      </c>
      <c r="AK44" s="231">
        <f t="shared" si="78"/>
        <v>1</v>
      </c>
      <c r="AL44" s="231">
        <f t="shared" si="78"/>
        <v>1</v>
      </c>
      <c r="AM44" s="231">
        <f t="shared" si="78"/>
        <v>1</v>
      </c>
      <c r="AN44" s="231">
        <f t="shared" si="78"/>
        <v>1</v>
      </c>
      <c r="AO44" s="231">
        <f t="shared" si="78"/>
        <v>1</v>
      </c>
      <c r="AP44" s="231">
        <f t="shared" si="78"/>
        <v>1</v>
      </c>
      <c r="AQ44" s="231">
        <f t="shared" si="78"/>
        <v>1</v>
      </c>
      <c r="AR44" s="231">
        <f t="shared" si="79"/>
        <v>1</v>
      </c>
      <c r="AS44" s="231">
        <f t="shared" si="80"/>
        <v>1</v>
      </c>
      <c r="AT44" s="231">
        <f t="shared" si="81"/>
        <v>1</v>
      </c>
      <c r="AU44" s="231">
        <f t="shared" si="82"/>
        <v>1</v>
      </c>
      <c r="AV44" s="113">
        <f t="shared" si="83"/>
        <v>1</v>
      </c>
      <c r="AW44" s="2"/>
    </row>
    <row r="45" spans="1:49" ht="15.75" thickTop="1" x14ac:dyDescent="0.2">
      <c r="A45" s="59"/>
      <c r="B45" s="188"/>
      <c r="C45" s="188"/>
      <c r="D45" s="188"/>
      <c r="E45" s="188"/>
      <c r="F45" s="188"/>
      <c r="G45" s="188"/>
      <c r="H45" s="188"/>
      <c r="I45" s="188"/>
      <c r="J45" s="188"/>
      <c r="K45" s="197"/>
      <c r="L45" s="197"/>
      <c r="M45" s="197"/>
      <c r="N45" s="197"/>
      <c r="O45" s="197"/>
      <c r="P45" s="197"/>
      <c r="Q45" s="197"/>
      <c r="R45" s="189"/>
      <c r="S45" s="113"/>
      <c r="T45" s="59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2"/>
    </row>
    <row r="46" spans="1:49" ht="15.75" x14ac:dyDescent="0.25">
      <c r="A46" s="81" t="s">
        <v>7</v>
      </c>
      <c r="B46" s="155"/>
      <c r="C46" s="155"/>
      <c r="D46" s="155"/>
      <c r="E46" s="190"/>
      <c r="F46" s="190"/>
      <c r="G46" s="190"/>
      <c r="H46" s="190"/>
      <c r="I46" s="190"/>
      <c r="J46" s="190"/>
      <c r="K46" s="283"/>
      <c r="L46" s="283"/>
      <c r="M46" s="283"/>
      <c r="N46" s="283"/>
      <c r="O46" s="283"/>
      <c r="P46" s="283"/>
      <c r="Q46" s="283"/>
      <c r="R46" s="190"/>
      <c r="S46" s="113"/>
      <c r="T46" s="81" t="s">
        <v>7</v>
      </c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2"/>
    </row>
    <row r="47" spans="1:49" ht="15" x14ac:dyDescent="0.2">
      <c r="A47" s="62" t="s">
        <v>264</v>
      </c>
      <c r="B47" s="155">
        <v>87</v>
      </c>
      <c r="C47" s="155">
        <v>153.6</v>
      </c>
      <c r="D47" s="155">
        <v>142.69999999999999</v>
      </c>
      <c r="E47" s="155">
        <v>166.1</v>
      </c>
      <c r="F47" s="155">
        <v>17.7</v>
      </c>
      <c r="G47" s="155">
        <v>119.3</v>
      </c>
      <c r="H47" s="155">
        <v>273.3</v>
      </c>
      <c r="I47" s="171">
        <v>48</v>
      </c>
      <c r="J47" s="171">
        <v>75</v>
      </c>
      <c r="K47" s="171">
        <v>20.5</v>
      </c>
      <c r="L47" s="171">
        <v>131.80000000000001</v>
      </c>
      <c r="M47" s="171">
        <v>256.3</v>
      </c>
      <c r="N47" s="171">
        <v>304.3</v>
      </c>
      <c r="O47" s="171">
        <v>116.5</v>
      </c>
      <c r="P47" s="171">
        <v>282.39999999999998</v>
      </c>
      <c r="Q47" s="171"/>
      <c r="R47" s="155">
        <v>21</v>
      </c>
      <c r="S47" s="113">
        <f>RATE(5,,-M47,Q47)</f>
        <v>-0.99999940914518248</v>
      </c>
      <c r="T47" s="59" t="str">
        <f>A47</f>
        <v>Affilliated Current Borrowing</v>
      </c>
      <c r="U47" s="33" t="e">
        <f>#REF!/#REF!</f>
        <v>#REF!</v>
      </c>
      <c r="V47" s="33" t="e">
        <f>#REF!/#REF!</f>
        <v>#REF!</v>
      </c>
      <c r="W47" s="33" t="e">
        <f>#REF!/#REF!</f>
        <v>#REF!</v>
      </c>
      <c r="X47" s="33" t="e">
        <f>#REF!/#REF!</f>
        <v>#REF!</v>
      </c>
      <c r="Y47" s="33" t="e">
        <f>#REF!/#REF!</f>
        <v>#REF!</v>
      </c>
      <c r="Z47" s="33" t="e">
        <f>#REF!/#REF!</f>
        <v>#REF!</v>
      </c>
      <c r="AA47" s="33" t="e">
        <f>#REF!/#REF!</f>
        <v>#REF!</v>
      </c>
      <c r="AB47" s="33" t="e">
        <f>#REF!/#REF!</f>
        <v>#REF!</v>
      </c>
      <c r="AC47" s="33" t="e">
        <f>#REF!/#REF!</f>
        <v>#REF!</v>
      </c>
      <c r="AD47" s="33" t="e">
        <f>#REF!/#REF!</f>
        <v>#REF!</v>
      </c>
      <c r="AE47" s="33">
        <f t="shared" ref="AE47:AQ47" si="98">B47/B$44</f>
        <v>6.496900903591965E-2</v>
      </c>
      <c r="AF47" s="33">
        <f t="shared" si="98"/>
        <v>0.10883582512577057</v>
      </c>
      <c r="AG47" s="113">
        <f t="shared" si="98"/>
        <v>9.8570145748428525E-2</v>
      </c>
      <c r="AH47" s="113">
        <f t="shared" si="98"/>
        <v>0.10219651756598783</v>
      </c>
      <c r="AI47" s="113">
        <f t="shared" si="98"/>
        <v>9.875027895559026E-3</v>
      </c>
      <c r="AJ47" s="113">
        <f t="shared" si="98"/>
        <v>6.0589131538852203E-2</v>
      </c>
      <c r="AK47" s="113">
        <f t="shared" si="98"/>
        <v>0.12445355191256828</v>
      </c>
      <c r="AL47" s="113">
        <f t="shared" si="98"/>
        <v>1.9150209455415918E-2</v>
      </c>
      <c r="AM47" s="113">
        <f t="shared" si="98"/>
        <v>2.7800429979983693E-2</v>
      </c>
      <c r="AN47" s="113">
        <f t="shared" si="98"/>
        <v>7.2811223583732904E-3</v>
      </c>
      <c r="AO47" s="113">
        <f t="shared" si="98"/>
        <v>4.362057381905074E-2</v>
      </c>
      <c r="AP47" s="113">
        <f t="shared" si="98"/>
        <v>7.8183149289244094E-2</v>
      </c>
      <c r="AQ47" s="113">
        <f t="shared" si="98"/>
        <v>8.4281955407838241E-2</v>
      </c>
      <c r="AR47" s="113">
        <f t="shared" ref="AR47" si="99">O47/O$44</f>
        <v>2.7047106075731891E-2</v>
      </c>
      <c r="AS47" s="113">
        <f t="shared" ref="AS47" si="100">P47/P$44</f>
        <v>6.2736037677167122E-2</v>
      </c>
      <c r="AT47" s="113">
        <f t="shared" ref="AT47" si="101">Q47/Q$44</f>
        <v>0</v>
      </c>
      <c r="AU47" s="113">
        <f t="shared" ref="AU47" si="102">R47/R$44</f>
        <v>4.9385038684946966E-3</v>
      </c>
      <c r="AV47" s="113">
        <f>SUM(M47:Q47)/SUM(M$44:Q$44)</f>
        <v>4.7896449822291437E-2</v>
      </c>
      <c r="AW47" s="2"/>
    </row>
    <row r="48" spans="1:49" ht="15" x14ac:dyDescent="0.2">
      <c r="A48" s="66" t="s">
        <v>202</v>
      </c>
      <c r="B48" s="155"/>
      <c r="C48" s="155"/>
      <c r="D48" s="155"/>
      <c r="E48" s="155"/>
      <c r="F48" s="155"/>
      <c r="G48" s="155"/>
      <c r="H48" s="155"/>
      <c r="I48" s="171">
        <v>200</v>
      </c>
      <c r="J48" s="171">
        <v>165</v>
      </c>
      <c r="K48" s="171"/>
      <c r="L48" s="171"/>
      <c r="M48" s="171"/>
      <c r="N48" s="171"/>
      <c r="O48" s="171"/>
      <c r="P48" s="171">
        <v>164.5</v>
      </c>
      <c r="Q48" s="171"/>
      <c r="R48" s="171"/>
      <c r="S48" s="113"/>
      <c r="T48" s="59" t="str">
        <f>+A48</f>
        <v>Short Term Debt</v>
      </c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13"/>
      <c r="AH48" s="113"/>
      <c r="AI48" s="113"/>
      <c r="AJ48" s="113"/>
      <c r="AK48" s="113"/>
      <c r="AL48" s="113">
        <f t="shared" ref="AL48:AM53" si="103">I48/I$44</f>
        <v>7.9792539397566323E-2</v>
      </c>
      <c r="AM48" s="113">
        <f t="shared" si="103"/>
        <v>6.1160945955964122E-2</v>
      </c>
      <c r="AN48" s="113"/>
      <c r="AO48" s="113"/>
      <c r="AP48" s="113"/>
      <c r="AQ48" s="113"/>
      <c r="AR48" s="113"/>
      <c r="AS48" s="113"/>
      <c r="AT48" s="113"/>
      <c r="AU48" s="113"/>
      <c r="AV48" s="113"/>
      <c r="AW48" s="2"/>
    </row>
    <row r="49" spans="1:49" ht="15" x14ac:dyDescent="0.2">
      <c r="A49" s="66" t="s">
        <v>116</v>
      </c>
      <c r="B49" s="155"/>
      <c r="C49" s="155">
        <v>2</v>
      </c>
      <c r="D49" s="155">
        <v>91.5</v>
      </c>
      <c r="E49" s="155">
        <v>42</v>
      </c>
      <c r="F49" s="155"/>
      <c r="G49" s="155"/>
      <c r="H49" s="155"/>
      <c r="I49" s="171">
        <v>14.5</v>
      </c>
      <c r="J49" s="171">
        <v>120</v>
      </c>
      <c r="K49" s="171"/>
      <c r="L49" s="171"/>
      <c r="M49" s="171"/>
      <c r="N49" s="171"/>
      <c r="O49" s="171"/>
      <c r="P49" s="171"/>
      <c r="Q49" s="171"/>
      <c r="R49" s="155"/>
      <c r="S49" s="113"/>
      <c r="T49" s="59" t="str">
        <f>A49</f>
        <v>Current Portion, LTD</v>
      </c>
      <c r="U49" s="33"/>
      <c r="V49" s="33" t="e">
        <f>#REF!/#REF!</f>
        <v>#REF!</v>
      </c>
      <c r="W49" s="33" t="e">
        <f>#REF!/#REF!</f>
        <v>#REF!</v>
      </c>
      <c r="X49" s="33" t="e">
        <f>#REF!/#REF!</f>
        <v>#REF!</v>
      </c>
      <c r="Y49" s="33" t="e">
        <f>#REF!/#REF!</f>
        <v>#REF!</v>
      </c>
      <c r="Z49" s="33"/>
      <c r="AA49" s="33"/>
      <c r="AB49" s="33" t="e">
        <f>#REF!/#REF!</f>
        <v>#REF!</v>
      </c>
      <c r="AC49" s="33" t="e">
        <f>#REF!/#REF!</f>
        <v>#REF!</v>
      </c>
      <c r="AD49" s="114" t="e">
        <f>#REF!/#REF!</f>
        <v>#REF!</v>
      </c>
      <c r="AE49" s="114">
        <f>B49/B$44</f>
        <v>0</v>
      </c>
      <c r="AF49" s="114">
        <f>C49/C$44</f>
        <v>1.4171331396584709E-3</v>
      </c>
      <c r="AG49" s="185">
        <f>D49/D$44</f>
        <v>6.3203702424535463E-2</v>
      </c>
      <c r="AH49" s="185">
        <f>E49/E$44</f>
        <v>2.5841383129268446E-2</v>
      </c>
      <c r="AI49" s="185"/>
      <c r="AJ49" s="185"/>
      <c r="AK49" s="185"/>
      <c r="AL49" s="185">
        <f t="shared" si="103"/>
        <v>5.7849591063235586E-3</v>
      </c>
      <c r="AM49" s="185">
        <f t="shared" si="103"/>
        <v>4.4480687967973907E-2</v>
      </c>
      <c r="AN49" s="185"/>
      <c r="AO49" s="185"/>
      <c r="AP49" s="185"/>
      <c r="AQ49" s="185"/>
      <c r="AR49" s="185"/>
      <c r="AS49" s="185"/>
      <c r="AT49" s="185"/>
      <c r="AU49" s="185"/>
      <c r="AV49" s="113">
        <f t="shared" ref="AV49:AV55" si="104">SUM(M49:Q49)/SUM(M$44:Q$44)</f>
        <v>0</v>
      </c>
      <c r="AW49" s="2"/>
    </row>
    <row r="50" spans="1:49" ht="15" x14ac:dyDescent="0.2">
      <c r="A50" s="66" t="s">
        <v>206</v>
      </c>
      <c r="B50" s="155"/>
      <c r="C50" s="155"/>
      <c r="D50" s="155"/>
      <c r="E50" s="155"/>
      <c r="F50" s="155">
        <v>23.2</v>
      </c>
      <c r="G50" s="155">
        <v>22.7</v>
      </c>
      <c r="H50" s="155">
        <v>24.4</v>
      </c>
      <c r="I50" s="171">
        <v>19.2</v>
      </c>
      <c r="J50" s="171">
        <v>15.6</v>
      </c>
      <c r="K50" s="171">
        <v>16.7</v>
      </c>
      <c r="L50" s="171">
        <v>17.100000000000001</v>
      </c>
      <c r="M50" s="171">
        <v>16.2</v>
      </c>
      <c r="N50" s="171">
        <v>21.6</v>
      </c>
      <c r="O50" s="171">
        <v>22.8</v>
      </c>
      <c r="P50" s="171">
        <v>24.7</v>
      </c>
      <c r="Q50" s="171">
        <v>43.4</v>
      </c>
      <c r="R50" s="155">
        <v>66.7</v>
      </c>
      <c r="S50" s="113">
        <f t="shared" ref="S50:S55" si="105">RATE(5,,-M50,Q50)</f>
        <v>0.21785320389862875</v>
      </c>
      <c r="T50" s="59" t="str">
        <f>+A50</f>
        <v>Accrued Expenses</v>
      </c>
      <c r="U50" s="33"/>
      <c r="V50" s="33"/>
      <c r="W50" s="33"/>
      <c r="X50" s="33"/>
      <c r="Y50" s="33"/>
      <c r="Z50" s="33"/>
      <c r="AA50" s="33"/>
      <c r="AB50" s="33"/>
      <c r="AC50" s="33"/>
      <c r="AD50" s="114"/>
      <c r="AE50" s="114"/>
      <c r="AF50" s="114"/>
      <c r="AG50" s="185"/>
      <c r="AH50" s="185"/>
      <c r="AI50" s="185">
        <f t="shared" ref="AI50:AK53" si="106">F50/F$44</f>
        <v>1.2943539388529345E-2</v>
      </c>
      <c r="AJ50" s="185">
        <f t="shared" si="106"/>
        <v>1.152869476891823E-2</v>
      </c>
      <c r="AK50" s="185">
        <f t="shared" si="106"/>
        <v>1.1111111111111108E-2</v>
      </c>
      <c r="AL50" s="185">
        <f t="shared" si="103"/>
        <v>7.6600837821663671E-3</v>
      </c>
      <c r="AM50" s="185">
        <f t="shared" si="103"/>
        <v>5.7824894358366082E-3</v>
      </c>
      <c r="AN50" s="185">
        <f t="shared" ref="AN50:AQ53" si="107">K50/K$44</f>
        <v>5.9314508968211681E-3</v>
      </c>
      <c r="AO50" s="185">
        <f t="shared" si="107"/>
        <v>5.6594219446568107E-3</v>
      </c>
      <c r="AP50" s="185">
        <f t="shared" si="107"/>
        <v>4.9417363187114873E-3</v>
      </c>
      <c r="AQ50" s="185">
        <f t="shared" si="107"/>
        <v>5.9825508932280841E-3</v>
      </c>
      <c r="AR50" s="185">
        <f t="shared" ref="AR50:AR53" si="108">O50/O$44</f>
        <v>5.2933392148213484E-3</v>
      </c>
      <c r="AS50" s="185">
        <f t="shared" ref="AS50:AS53" si="109">P50/P$44</f>
        <v>5.4871817656729034E-3</v>
      </c>
      <c r="AT50" s="185">
        <f t="shared" ref="AT50:AT53" si="110">Q50/Q$44</f>
        <v>1.0010610324306869E-2</v>
      </c>
      <c r="AU50" s="185">
        <f t="shared" ref="AU50" si="111">R50/R$44</f>
        <v>1.5685628953742682E-2</v>
      </c>
      <c r="AV50" s="113">
        <f t="shared" si="104"/>
        <v>6.4244638792380479E-3</v>
      </c>
      <c r="AW50" s="2"/>
    </row>
    <row r="51" spans="1:49" ht="15" x14ac:dyDescent="0.2">
      <c r="A51" s="77" t="s">
        <v>173</v>
      </c>
      <c r="B51" s="171">
        <v>124.1</v>
      </c>
      <c r="C51" s="171">
        <v>102.5</v>
      </c>
      <c r="D51" s="171">
        <v>106.5</v>
      </c>
      <c r="E51" s="171">
        <v>100.5</v>
      </c>
      <c r="F51" s="171">
        <v>110.8</v>
      </c>
      <c r="G51" s="171">
        <v>76</v>
      </c>
      <c r="H51" s="171">
        <v>91.3</v>
      </c>
      <c r="I51" s="171">
        <v>72.5</v>
      </c>
      <c r="J51" s="171">
        <v>53.8</v>
      </c>
      <c r="K51" s="171">
        <v>78.2</v>
      </c>
      <c r="L51" s="171">
        <v>65.5</v>
      </c>
      <c r="M51" s="171">
        <v>64.599999999999994</v>
      </c>
      <c r="N51" s="171">
        <v>115.4</v>
      </c>
      <c r="O51" s="171">
        <v>311.7</v>
      </c>
      <c r="P51" s="171">
        <v>102.2</v>
      </c>
      <c r="Q51" s="171">
        <v>117.1</v>
      </c>
      <c r="R51" s="155">
        <v>53.4</v>
      </c>
      <c r="S51" s="113">
        <f t="shared" si="105"/>
        <v>0.12632798652790875</v>
      </c>
      <c r="T51" s="59" t="str">
        <f>A51</f>
        <v>Accounts Payable</v>
      </c>
      <c r="U51" s="33" t="e">
        <f>#REF!/#REF!</f>
        <v>#REF!</v>
      </c>
      <c r="V51" s="33" t="e">
        <f>#REF!/#REF!</f>
        <v>#REF!</v>
      </c>
      <c r="W51" s="33" t="e">
        <f>#REF!/#REF!</f>
        <v>#REF!</v>
      </c>
      <c r="X51" s="33" t="e">
        <f>#REF!/#REF!</f>
        <v>#REF!</v>
      </c>
      <c r="Y51" s="33" t="e">
        <f>#REF!/#REF!</f>
        <v>#REF!</v>
      </c>
      <c r="Z51" s="33" t="e">
        <f>#REF!/#REF!</f>
        <v>#REF!</v>
      </c>
      <c r="AA51" s="33" t="e">
        <f>#REF!/#REF!</f>
        <v>#REF!</v>
      </c>
      <c r="AB51" s="33" t="e">
        <f>#REF!/#REF!</f>
        <v>#REF!</v>
      </c>
      <c r="AC51" s="33" t="e">
        <f>#REF!/#REF!</f>
        <v>#REF!</v>
      </c>
      <c r="AD51" s="33" t="e">
        <f>#REF!/#REF!</f>
        <v>#REF!</v>
      </c>
      <c r="AE51" s="33">
        <f t="shared" ref="AE51:AH53" si="112">B51/B$44</f>
        <v>9.2674184153535955E-2</v>
      </c>
      <c r="AF51" s="33">
        <f t="shared" si="112"/>
        <v>7.2628073407496635E-2</v>
      </c>
      <c r="AG51" s="113">
        <f t="shared" si="112"/>
        <v>7.356496511708227E-2</v>
      </c>
      <c r="AH51" s="113">
        <f t="shared" si="112"/>
        <v>6.1834738202178073E-2</v>
      </c>
      <c r="AI51" s="113">
        <f t="shared" si="106"/>
        <v>6.1816558803838427E-2</v>
      </c>
      <c r="AJ51" s="113">
        <f t="shared" si="106"/>
        <v>3.8598273235144739E-2</v>
      </c>
      <c r="AK51" s="113">
        <f t="shared" si="106"/>
        <v>4.157559198542804E-2</v>
      </c>
      <c r="AL51" s="113">
        <f t="shared" si="103"/>
        <v>2.8924795531617795E-2</v>
      </c>
      <c r="AM51" s="113">
        <f t="shared" si="103"/>
        <v>1.9942175105641634E-2</v>
      </c>
      <c r="AN51" s="113">
        <f t="shared" si="107"/>
        <v>2.7774817971941042E-2</v>
      </c>
      <c r="AO51" s="113">
        <f t="shared" si="107"/>
        <v>2.1677902770469069E-2</v>
      </c>
      <c r="AP51" s="113">
        <f t="shared" si="107"/>
        <v>1.9705936184491485E-2</v>
      </c>
      <c r="AQ51" s="113">
        <f t="shared" si="107"/>
        <v>3.196233208696856E-2</v>
      </c>
      <c r="AR51" s="113">
        <f t="shared" si="108"/>
        <v>7.2365519002623432E-2</v>
      </c>
      <c r="AS51" s="113">
        <f t="shared" si="109"/>
        <v>2.2704047629626346E-2</v>
      </c>
      <c r="AT51" s="113">
        <f t="shared" si="110"/>
        <v>2.7010195137703558E-2</v>
      </c>
      <c r="AU51" s="113">
        <f t="shared" ref="AU51:AU59" si="113">R51/R$44</f>
        <v>1.2557909837029372E-2</v>
      </c>
      <c r="AV51" s="113">
        <f t="shared" si="104"/>
        <v>3.5491793458727681E-2</v>
      </c>
      <c r="AW51" s="2"/>
    </row>
    <row r="52" spans="1:49" ht="15" x14ac:dyDescent="0.2">
      <c r="A52" s="77" t="s">
        <v>174</v>
      </c>
      <c r="B52" s="171">
        <v>47.2</v>
      </c>
      <c r="C52" s="171">
        <v>53.6</v>
      </c>
      <c r="D52" s="171">
        <v>41.9</v>
      </c>
      <c r="E52" s="171">
        <v>50.9</v>
      </c>
      <c r="F52" s="171">
        <v>67.8</v>
      </c>
      <c r="G52" s="171">
        <v>78.7</v>
      </c>
      <c r="H52" s="171">
        <v>74.5</v>
      </c>
      <c r="I52" s="171">
        <v>43.5</v>
      </c>
      <c r="J52" s="171">
        <v>68.3</v>
      </c>
      <c r="K52" s="171">
        <v>41.5</v>
      </c>
      <c r="L52" s="171">
        <v>52.3</v>
      </c>
      <c r="M52" s="171">
        <v>43.3</v>
      </c>
      <c r="N52" s="171">
        <v>31.3</v>
      </c>
      <c r="O52" s="171">
        <v>48.1</v>
      </c>
      <c r="P52" s="171">
        <v>72.099999999999994</v>
      </c>
      <c r="Q52" s="171">
        <v>26.7</v>
      </c>
      <c r="R52" s="155">
        <v>30.1</v>
      </c>
      <c r="S52" s="113">
        <f t="shared" si="105"/>
        <v>-9.2169701633700113E-2</v>
      </c>
      <c r="T52" s="59" t="str">
        <f>A52</f>
        <v>Accounts Payable, Affiliates</v>
      </c>
      <c r="U52" s="33" t="e">
        <f>#REF!/#REF!</f>
        <v>#REF!</v>
      </c>
      <c r="V52" s="33" t="e">
        <f>#REF!/#REF!</f>
        <v>#REF!</v>
      </c>
      <c r="W52" s="33" t="e">
        <f>#REF!/#REF!</f>
        <v>#REF!</v>
      </c>
      <c r="X52" s="33" t="e">
        <f>#REF!/#REF!</f>
        <v>#REF!</v>
      </c>
      <c r="Y52" s="33" t="e">
        <f>#REF!/#REF!</f>
        <v>#REF!</v>
      </c>
      <c r="Z52" s="33" t="e">
        <f>#REF!/#REF!</f>
        <v>#REF!</v>
      </c>
      <c r="AA52" s="33" t="e">
        <f>#REF!/#REF!</f>
        <v>#REF!</v>
      </c>
      <c r="AB52" s="33" t="e">
        <f>#REF!/#REF!</f>
        <v>#REF!</v>
      </c>
      <c r="AC52" s="33" t="e">
        <f>#REF!/#REF!</f>
        <v>#REF!</v>
      </c>
      <c r="AD52" s="33" t="e">
        <f>#REF!/#REF!</f>
        <v>#REF!</v>
      </c>
      <c r="AE52" s="33">
        <f t="shared" si="112"/>
        <v>3.5247554327533424E-2</v>
      </c>
      <c r="AF52" s="33">
        <f t="shared" si="112"/>
        <v>3.797916814284702E-2</v>
      </c>
      <c r="AG52" s="113">
        <f t="shared" si="112"/>
        <v>2.8942460454514055E-2</v>
      </c>
      <c r="AH52" s="113">
        <f t="shared" si="112"/>
        <v>3.131729526856581E-2</v>
      </c>
      <c r="AI52" s="113">
        <f t="shared" si="106"/>
        <v>3.7826378040615928E-2</v>
      </c>
      <c r="AJ52" s="113">
        <f t="shared" si="106"/>
        <v>3.9969527679024883E-2</v>
      </c>
      <c r="AK52" s="113">
        <f t="shared" si="106"/>
        <v>3.3925318761384327E-2</v>
      </c>
      <c r="AL52" s="113">
        <f t="shared" si="103"/>
        <v>1.7354877318970677E-2</v>
      </c>
      <c r="AM52" s="113">
        <f t="shared" si="103"/>
        <v>2.5316924901771815E-2</v>
      </c>
      <c r="AN52" s="113">
        <f t="shared" si="107"/>
        <v>1.4739833066950809E-2</v>
      </c>
      <c r="AO52" s="113">
        <f t="shared" si="107"/>
        <v>1.7309226181611178E-2</v>
      </c>
      <c r="AP52" s="113">
        <f t="shared" si="107"/>
        <v>1.3208468061741198E-2</v>
      </c>
      <c r="AQ52" s="113">
        <f t="shared" si="107"/>
        <v>8.6691593962055103E-3</v>
      </c>
      <c r="AR52" s="113">
        <f t="shared" si="108"/>
        <v>1.1167088431267845E-2</v>
      </c>
      <c r="AS52" s="113">
        <f t="shared" si="109"/>
        <v>1.601723908117475E-2</v>
      </c>
      <c r="AT52" s="113">
        <f t="shared" si="110"/>
        <v>6.1586012824652861E-3</v>
      </c>
      <c r="AU52" s="113">
        <f t="shared" si="113"/>
        <v>7.0785222115090658E-3</v>
      </c>
      <c r="AV52" s="113">
        <f t="shared" si="104"/>
        <v>1.1056866738548776E-2</v>
      </c>
      <c r="AW52" s="2"/>
    </row>
    <row r="53" spans="1:49" ht="15" x14ac:dyDescent="0.2">
      <c r="A53" s="306" t="s">
        <v>175</v>
      </c>
      <c r="B53" s="171">
        <v>30.3</v>
      </c>
      <c r="C53" s="171">
        <v>26.2</v>
      </c>
      <c r="D53" s="171">
        <v>25</v>
      </c>
      <c r="E53" s="171">
        <v>30.2</v>
      </c>
      <c r="F53" s="171">
        <v>19.8</v>
      </c>
      <c r="G53" s="171">
        <v>29.4</v>
      </c>
      <c r="H53" s="171">
        <v>34.299999999999997</v>
      </c>
      <c r="I53" s="171">
        <v>27.9</v>
      </c>
      <c r="J53" s="171">
        <v>17.3</v>
      </c>
      <c r="K53" s="171">
        <v>20.6</v>
      </c>
      <c r="L53" s="171">
        <v>39.5</v>
      </c>
      <c r="M53" s="171">
        <v>46.5</v>
      </c>
      <c r="N53" s="171">
        <v>40.200000000000003</v>
      </c>
      <c r="O53" s="171">
        <v>27.6</v>
      </c>
      <c r="P53" s="171">
        <v>33.200000000000003</v>
      </c>
      <c r="Q53" s="171">
        <v>40.1</v>
      </c>
      <c r="R53" s="155">
        <v>37.700000000000003</v>
      </c>
      <c r="S53" s="113">
        <f t="shared" si="105"/>
        <v>-2.9180962936414652E-2</v>
      </c>
      <c r="T53" s="59" t="str">
        <f>A53</f>
        <v>Customer-Credit Balances</v>
      </c>
      <c r="U53" s="33" t="e">
        <f>#REF!/#REF!</f>
        <v>#REF!</v>
      </c>
      <c r="V53" s="33" t="e">
        <f>#REF!/#REF!</f>
        <v>#REF!</v>
      </c>
      <c r="W53" s="33" t="e">
        <f>#REF!/#REF!</f>
        <v>#REF!</v>
      </c>
      <c r="X53" s="33" t="e">
        <f>#REF!/#REF!</f>
        <v>#REF!</v>
      </c>
      <c r="Y53" s="33" t="e">
        <f>#REF!/#REF!</f>
        <v>#REF!</v>
      </c>
      <c r="Z53" s="33" t="e">
        <f>#REF!/#REF!</f>
        <v>#REF!</v>
      </c>
      <c r="AA53" s="33" t="e">
        <f>#REF!/#REF!</f>
        <v>#REF!</v>
      </c>
      <c r="AB53" s="33" t="e">
        <f>#REF!/#REF!</f>
        <v>#REF!</v>
      </c>
      <c r="AC53" s="33" t="e">
        <f>#REF!/#REF!</f>
        <v>#REF!</v>
      </c>
      <c r="AD53" s="33" t="e">
        <f>#REF!/#REF!</f>
        <v>#REF!</v>
      </c>
      <c r="AE53" s="33">
        <f t="shared" si="112"/>
        <v>2.2627137629751326E-2</v>
      </c>
      <c r="AF53" s="33">
        <f t="shared" si="112"/>
        <v>1.8564444129525969E-2</v>
      </c>
      <c r="AG53" s="113">
        <f t="shared" si="112"/>
        <v>1.7268771154244664E-2</v>
      </c>
      <c r="AH53" s="113">
        <f t="shared" si="112"/>
        <v>1.8581185011997788E-2</v>
      </c>
      <c r="AI53" s="113">
        <f t="shared" si="106"/>
        <v>1.1046641374693149E-2</v>
      </c>
      <c r="AJ53" s="113">
        <f t="shared" si="106"/>
        <v>1.4931437277805991E-2</v>
      </c>
      <c r="AK53" s="113">
        <f t="shared" si="106"/>
        <v>1.5619307832422581E-2</v>
      </c>
      <c r="AL53" s="113">
        <f t="shared" si="103"/>
        <v>1.1131059245960502E-2</v>
      </c>
      <c r="AM53" s="113">
        <f t="shared" si="103"/>
        <v>6.4126325153829053E-3</v>
      </c>
      <c r="AN53" s="113">
        <f t="shared" si="107"/>
        <v>7.3166400284141366E-3</v>
      </c>
      <c r="AO53" s="113">
        <f t="shared" si="107"/>
        <v>1.307293373180959E-2</v>
      </c>
      <c r="AP53" s="113">
        <f t="shared" si="107"/>
        <v>1.4184613507412604E-2</v>
      </c>
      <c r="AQ53" s="113">
        <f t="shared" si="107"/>
        <v>1.113419194017449E-2</v>
      </c>
      <c r="AR53" s="113">
        <f t="shared" si="108"/>
        <v>6.4077264179416326E-3</v>
      </c>
      <c r="AS53" s="113">
        <f t="shared" si="109"/>
        <v>7.3754831830097328E-3</v>
      </c>
      <c r="AT53" s="113">
        <f t="shared" si="110"/>
        <v>9.2494348849010491E-3</v>
      </c>
      <c r="AU53" s="113">
        <f t="shared" si="113"/>
        <v>8.8657902782023849E-3</v>
      </c>
      <c r="AV53" s="113">
        <f t="shared" si="104"/>
        <v>9.3646419871410876E-3</v>
      </c>
      <c r="AW53" s="2"/>
    </row>
    <row r="54" spans="1:49" ht="15" hidden="1" x14ac:dyDescent="0.2">
      <c r="A54" s="306" t="s">
        <v>204</v>
      </c>
      <c r="B54" s="171"/>
      <c r="C54" s="171"/>
      <c r="D54" s="171"/>
      <c r="E54" s="171"/>
      <c r="F54" s="171"/>
      <c r="G54" s="171">
        <v>9</v>
      </c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55"/>
      <c r="S54" s="113" t="e">
        <f t="shared" si="105"/>
        <v>#NUM!</v>
      </c>
      <c r="T54" s="59" t="str">
        <f>+A54</f>
        <v>Dividends Payable to Questar</v>
      </c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13"/>
      <c r="AH54" s="113"/>
      <c r="AI54" s="113"/>
      <c r="AJ54" s="113">
        <f>G54/G$44</f>
        <v>4.5708481462671405E-3</v>
      </c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>
        <f t="shared" si="104"/>
        <v>0</v>
      </c>
      <c r="AW54" s="2"/>
    </row>
    <row r="55" spans="1:49" ht="15" x14ac:dyDescent="0.2">
      <c r="A55" s="306" t="s">
        <v>205</v>
      </c>
      <c r="B55" s="171"/>
      <c r="C55" s="171"/>
      <c r="D55" s="171"/>
      <c r="E55" s="171"/>
      <c r="F55" s="171"/>
      <c r="G55" s="171">
        <v>12.5</v>
      </c>
      <c r="H55" s="171">
        <v>4</v>
      </c>
      <c r="I55" s="171"/>
      <c r="J55" s="171">
        <v>9.9</v>
      </c>
      <c r="K55" s="171">
        <v>19.2</v>
      </c>
      <c r="L55" s="171">
        <v>10.5</v>
      </c>
      <c r="M55" s="171">
        <v>20.8</v>
      </c>
      <c r="N55" s="171">
        <v>23.2</v>
      </c>
      <c r="O55" s="171">
        <v>139.19999999999999</v>
      </c>
      <c r="P55" s="171">
        <v>48.7</v>
      </c>
      <c r="Q55" s="171">
        <v>87.3</v>
      </c>
      <c r="R55" s="171">
        <v>35.700000000000003</v>
      </c>
      <c r="S55" s="113">
        <f t="shared" si="105"/>
        <v>0.33226365967316113</v>
      </c>
      <c r="T55" s="59" t="str">
        <f>+A55</f>
        <v>Current Regulatory Liabilities</v>
      </c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13"/>
      <c r="AH55" s="113"/>
      <c r="AI55" s="113"/>
      <c r="AJ55" s="113">
        <f>G55/G$44</f>
        <v>6.3484002031488056E-3</v>
      </c>
      <c r="AK55" s="113">
        <f t="shared" ref="AK55:AQ55" si="114">H55/H$44</f>
        <v>1.8214936247723129E-3</v>
      </c>
      <c r="AL55" s="113">
        <f t="shared" si="114"/>
        <v>0</v>
      </c>
      <c r="AM55" s="113">
        <f t="shared" si="114"/>
        <v>3.6696567573578477E-3</v>
      </c>
      <c r="AN55" s="113">
        <f t="shared" si="114"/>
        <v>6.8193926478423011E-3</v>
      </c>
      <c r="AO55" s="113">
        <f t="shared" si="114"/>
        <v>3.4750836502278658E-3</v>
      </c>
      <c r="AP55" s="113">
        <f t="shared" si="114"/>
        <v>6.3449453968641321E-3</v>
      </c>
      <c r="AQ55" s="113">
        <f t="shared" si="114"/>
        <v>6.4257028112449793E-3</v>
      </c>
      <c r="AR55" s="113">
        <f t="shared" ref="AR55" si="115">O55/O$44</f>
        <v>3.2317228890488228E-2</v>
      </c>
      <c r="AS55" s="113">
        <f t="shared" ref="AS55" si="116">P55/P$44</f>
        <v>1.0818856355800422E-2</v>
      </c>
      <c r="AT55" s="113">
        <f t="shared" ref="AT55" si="117">Q55/Q$44</f>
        <v>2.0136550260644925E-2</v>
      </c>
      <c r="AU55" s="113">
        <f t="shared" si="113"/>
        <v>8.395456576440986E-3</v>
      </c>
      <c r="AV55" s="113">
        <f t="shared" si="104"/>
        <v>1.5933868455732594E-2</v>
      </c>
      <c r="AW55" s="2"/>
    </row>
    <row r="56" spans="1:49" ht="15" x14ac:dyDescent="0.2">
      <c r="A56" s="306" t="s">
        <v>278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>
        <v>6.5</v>
      </c>
      <c r="P56" s="171">
        <v>29.2</v>
      </c>
      <c r="Q56" s="171">
        <v>23.3</v>
      </c>
      <c r="R56" s="171">
        <v>19.7</v>
      </c>
      <c r="S56" s="113"/>
      <c r="T56" s="59" t="str">
        <f>+A56</f>
        <v>Derivative Liabilities</v>
      </c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>
        <f t="shared" si="113"/>
        <v>4.6327869623497865E-3</v>
      </c>
      <c r="AV56" s="113"/>
      <c r="AW56" s="2"/>
    </row>
    <row r="57" spans="1:49" ht="15" x14ac:dyDescent="0.2">
      <c r="A57" s="306" t="s">
        <v>283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>
        <v>100</v>
      </c>
      <c r="R57" s="171"/>
      <c r="S57" s="113"/>
      <c r="T57" s="59" t="str">
        <f>+A57</f>
        <v>Dividend Payable</v>
      </c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2"/>
    </row>
    <row r="58" spans="1:49" ht="15" x14ac:dyDescent="0.2">
      <c r="A58" s="308" t="s">
        <v>65</v>
      </c>
      <c r="B58" s="168">
        <v>33.799999999999997</v>
      </c>
      <c r="C58" s="168">
        <v>8.6</v>
      </c>
      <c r="D58" s="168">
        <v>20</v>
      </c>
      <c r="E58" s="168">
        <v>8.8000000000000007</v>
      </c>
      <c r="F58" s="168">
        <v>16.3</v>
      </c>
      <c r="G58" s="168">
        <v>19.5</v>
      </c>
      <c r="H58" s="168">
        <v>6.8</v>
      </c>
      <c r="I58" s="168">
        <v>33.700000000000003</v>
      </c>
      <c r="J58" s="168">
        <v>27.2</v>
      </c>
      <c r="K58" s="168">
        <v>31</v>
      </c>
      <c r="L58" s="168">
        <f>19.4</f>
        <v>19.399999999999999</v>
      </c>
      <c r="M58" s="168">
        <v>23.3</v>
      </c>
      <c r="N58" s="168">
        <f>27.6+3.2</f>
        <v>30.8</v>
      </c>
      <c r="O58" s="168">
        <v>51</v>
      </c>
      <c r="P58" s="168">
        <v>60.8</v>
      </c>
      <c r="Q58" s="168">
        <v>73.5</v>
      </c>
      <c r="R58" s="119">
        <v>70.7</v>
      </c>
      <c r="S58" s="113">
        <f t="shared" ref="S58:S59" si="118">RATE(5,,-M58,Q58)</f>
        <v>0.25830604679008362</v>
      </c>
      <c r="T58" s="307" t="str">
        <f>A58</f>
        <v xml:space="preserve">Other </v>
      </c>
      <c r="U58" s="63" t="e">
        <f>#REF!/#REF!</f>
        <v>#REF!</v>
      </c>
      <c r="V58" s="63" t="e">
        <f>#REF!/#REF!</f>
        <v>#REF!</v>
      </c>
      <c r="W58" s="63" t="e">
        <f>#REF!/#REF!</f>
        <v>#REF!</v>
      </c>
      <c r="X58" s="63" t="e">
        <f>#REF!/#REF!</f>
        <v>#REF!</v>
      </c>
      <c r="Y58" s="63" t="e">
        <f>#REF!/#REF!</f>
        <v>#REF!</v>
      </c>
      <c r="Z58" s="63" t="e">
        <f>#REF!/#REF!</f>
        <v>#REF!</v>
      </c>
      <c r="AA58" s="63" t="e">
        <f>#REF!/#REF!</f>
        <v>#REF!</v>
      </c>
      <c r="AB58" s="63" t="e">
        <f>#REF!/#REF!</f>
        <v>#REF!</v>
      </c>
      <c r="AC58" s="63" t="e">
        <f>#REF!/#REF!</f>
        <v>#REF!</v>
      </c>
      <c r="AD58" s="63" t="e">
        <f>#REF!/#REF!</f>
        <v>#REF!</v>
      </c>
      <c r="AE58" s="63">
        <f t="shared" ref="AE58:AQ59" si="119">B58/B$44</f>
        <v>2.5240833395564183E-2</v>
      </c>
      <c r="AF58" s="63">
        <f t="shared" si="119"/>
        <v>6.093672500531425E-3</v>
      </c>
      <c r="AG58" s="235">
        <f t="shared" si="119"/>
        <v>1.3815016923395731E-2</v>
      </c>
      <c r="AH58" s="235">
        <f t="shared" si="119"/>
        <v>5.4143850366086274E-3</v>
      </c>
      <c r="AI58" s="235">
        <f t="shared" si="119"/>
        <v>9.093952242802945E-3</v>
      </c>
      <c r="AJ58" s="235">
        <f t="shared" si="119"/>
        <v>9.9035043169121376E-3</v>
      </c>
      <c r="AK58" s="235">
        <f t="shared" si="119"/>
        <v>3.0965391621129317E-3</v>
      </c>
      <c r="AL58" s="235">
        <f t="shared" si="119"/>
        <v>1.3445042888489927E-2</v>
      </c>
      <c r="AM58" s="235">
        <f t="shared" si="119"/>
        <v>1.0082289272740753E-2</v>
      </c>
      <c r="AN58" s="235">
        <f t="shared" si="119"/>
        <v>1.1010477712662049E-2</v>
      </c>
      <c r="AO58" s="235">
        <f t="shared" si="119"/>
        <v>6.4206307442305332E-3</v>
      </c>
      <c r="AP58" s="235">
        <f t="shared" si="119"/>
        <v>7.1075590262949179E-3</v>
      </c>
      <c r="AQ58" s="235">
        <f t="shared" si="119"/>
        <v>8.5306744218252312E-3</v>
      </c>
      <c r="AR58" s="235">
        <f t="shared" ref="AR58:AR59" si="120">O58/O$44</f>
        <v>1.1840364033153016E-2</v>
      </c>
      <c r="AS58" s="235">
        <f t="shared" ref="AS58:AS59" si="121">P58/P$44</f>
        <v>1.3506908961656378E-2</v>
      </c>
      <c r="AT58" s="235">
        <f t="shared" ref="AT58:AT59" si="122">Q58/Q$44</f>
        <v>1.6953452968584214E-2</v>
      </c>
      <c r="AU58" s="235">
        <f t="shared" si="113"/>
        <v>1.662629635726548E-2</v>
      </c>
      <c r="AV58" s="113">
        <f t="shared" ref="AV58:AV59" si="123">SUM(M58:Q58)/SUM(M$44:Q$44)</f>
        <v>1.1950401341799446E-2</v>
      </c>
      <c r="AW58" s="2"/>
    </row>
    <row r="59" spans="1:49" ht="15" x14ac:dyDescent="0.2">
      <c r="A59" s="77" t="s">
        <v>38</v>
      </c>
      <c r="B59" s="193">
        <f>SUM(B46:B58)</f>
        <v>322.40000000000003</v>
      </c>
      <c r="C59" s="193">
        <f>SUM(C46:C58)</f>
        <v>346.50000000000006</v>
      </c>
      <c r="D59" s="193">
        <f t="shared" ref="D59:R59" si="124">SUM(D46:D58)</f>
        <v>427.59999999999997</v>
      </c>
      <c r="E59" s="193">
        <f t="shared" si="124"/>
        <v>398.5</v>
      </c>
      <c r="F59" s="193">
        <f t="shared" si="124"/>
        <v>255.60000000000002</v>
      </c>
      <c r="G59" s="193">
        <f t="shared" si="124"/>
        <v>367.09999999999997</v>
      </c>
      <c r="H59" s="193">
        <f t="shared" si="124"/>
        <v>508.6</v>
      </c>
      <c r="I59" s="193">
        <f t="shared" si="124"/>
        <v>459.29999999999995</v>
      </c>
      <c r="J59" s="193">
        <f t="shared" si="124"/>
        <v>552.1</v>
      </c>
      <c r="K59" s="193">
        <f t="shared" si="124"/>
        <v>227.7</v>
      </c>
      <c r="L59" s="193">
        <f t="shared" ref="L59:M59" si="125">SUM(L46:L58)</f>
        <v>336.09999999999997</v>
      </c>
      <c r="M59" s="193">
        <f t="shared" si="125"/>
        <v>471.00000000000006</v>
      </c>
      <c r="N59" s="193">
        <f t="shared" ref="N59:P59" si="126">SUM(N46:N58)</f>
        <v>566.80000000000007</v>
      </c>
      <c r="O59" s="193">
        <f t="shared" si="126"/>
        <v>723.40000000000009</v>
      </c>
      <c r="P59" s="193">
        <f t="shared" si="126"/>
        <v>817.80000000000007</v>
      </c>
      <c r="Q59" s="193">
        <f t="shared" ref="Q59" si="127">SUM(Q46:Q58)</f>
        <v>511.4</v>
      </c>
      <c r="R59" s="178">
        <f t="shared" si="124"/>
        <v>334.99999999999994</v>
      </c>
      <c r="S59" s="113">
        <f t="shared" si="118"/>
        <v>1.6594985874276044E-2</v>
      </c>
      <c r="T59" s="59" t="s">
        <v>38</v>
      </c>
      <c r="U59" s="33" t="e">
        <f>#REF!/#REF!</f>
        <v>#REF!</v>
      </c>
      <c r="V59" s="33" t="e">
        <f>#REF!/#REF!</f>
        <v>#REF!</v>
      </c>
      <c r="W59" s="33" t="e">
        <f>#REF!/#REF!</f>
        <v>#REF!</v>
      </c>
      <c r="X59" s="33" t="e">
        <f>#REF!/#REF!</f>
        <v>#REF!</v>
      </c>
      <c r="Y59" s="33" t="e">
        <f>#REF!/#REF!</f>
        <v>#REF!</v>
      </c>
      <c r="Z59" s="33" t="e">
        <f>#REF!/#REF!</f>
        <v>#REF!</v>
      </c>
      <c r="AA59" s="33" t="e">
        <f>#REF!/#REF!</f>
        <v>#REF!</v>
      </c>
      <c r="AB59" s="33" t="e">
        <f>#REF!/#REF!</f>
        <v>#REF!</v>
      </c>
      <c r="AC59" s="33" t="e">
        <f>#REF!/#REF!</f>
        <v>#REF!</v>
      </c>
      <c r="AD59" s="33" t="e">
        <f>#REF!/#REF!</f>
        <v>#REF!</v>
      </c>
      <c r="AE59" s="33">
        <f t="shared" si="119"/>
        <v>0.24075871854230457</v>
      </c>
      <c r="AF59" s="33">
        <f t="shared" si="119"/>
        <v>0.24551831644583014</v>
      </c>
      <c r="AG59" s="113">
        <f t="shared" si="119"/>
        <v>0.29536506182220068</v>
      </c>
      <c r="AH59" s="113">
        <f t="shared" si="119"/>
        <v>0.24518550421460658</v>
      </c>
      <c r="AI59" s="113">
        <f t="shared" si="119"/>
        <v>0.14260209774603883</v>
      </c>
      <c r="AJ59" s="113">
        <f t="shared" si="119"/>
        <v>0.18643981716607411</v>
      </c>
      <c r="AK59" s="113">
        <f t="shared" si="119"/>
        <v>0.2316029143897996</v>
      </c>
      <c r="AL59" s="113">
        <f t="shared" si="119"/>
        <v>0.18324356672651104</v>
      </c>
      <c r="AM59" s="113">
        <f t="shared" si="119"/>
        <v>0.2046482318926533</v>
      </c>
      <c r="AN59" s="113">
        <f t="shared" si="119"/>
        <v>8.0873734683004794E-2</v>
      </c>
      <c r="AO59" s="113">
        <f t="shared" si="119"/>
        <v>0.11123577284205577</v>
      </c>
      <c r="AP59" s="113">
        <f t="shared" si="119"/>
        <v>0.14367640778475993</v>
      </c>
      <c r="AQ59" s="113">
        <f t="shared" si="119"/>
        <v>0.15698656695748511</v>
      </c>
      <c r="AR59" s="113">
        <f t="shared" si="120"/>
        <v>0.16794743807025281</v>
      </c>
      <c r="AS59" s="113">
        <f t="shared" si="121"/>
        <v>0.18167681165859517</v>
      </c>
      <c r="AT59" s="113">
        <f t="shared" si="122"/>
        <v>0.11795912718549616</v>
      </c>
      <c r="AU59" s="113">
        <f t="shared" si="113"/>
        <v>7.8780895045034438E-2</v>
      </c>
      <c r="AV59" s="113">
        <f t="shared" si="123"/>
        <v>0.15426700211652888</v>
      </c>
      <c r="AW59" s="2"/>
    </row>
    <row r="60" spans="1:49" ht="15" x14ac:dyDescent="0.2">
      <c r="A60" s="77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55"/>
      <c r="S60" s="113"/>
      <c r="T60" s="59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2"/>
    </row>
    <row r="61" spans="1:49" ht="15" x14ac:dyDescent="0.2">
      <c r="A61" s="77" t="s">
        <v>60</v>
      </c>
      <c r="B61" s="171">
        <v>370</v>
      </c>
      <c r="C61" s="171">
        <v>368</v>
      </c>
      <c r="D61" s="171">
        <v>276.5</v>
      </c>
      <c r="E61" s="171">
        <v>384.5</v>
      </c>
      <c r="F61" s="171">
        <v>534.5</v>
      </c>
      <c r="G61" s="171">
        <v>534.5</v>
      </c>
      <c r="H61" s="171">
        <v>534.5</v>
      </c>
      <c r="I61" s="171">
        <v>616.29999999999995</v>
      </c>
      <c r="J61" s="171">
        <v>595.9</v>
      </c>
      <c r="K61" s="171">
        <v>745.3</v>
      </c>
      <c r="L61" s="171">
        <v>745.5</v>
      </c>
      <c r="M61" s="171">
        <v>745.8</v>
      </c>
      <c r="N61" s="171">
        <v>995.4</v>
      </c>
      <c r="O61" s="171">
        <v>1245</v>
      </c>
      <c r="P61" s="171">
        <v>1205.3</v>
      </c>
      <c r="Q61" s="171">
        <v>1405</v>
      </c>
      <c r="R61" s="155">
        <v>1405.2</v>
      </c>
      <c r="S61" s="113">
        <f t="shared" ref="S61:S63" si="128">RATE(5,,-M61,Q61)</f>
        <v>0.13503901274434574</v>
      </c>
      <c r="T61" s="59" t="str">
        <f>A61</f>
        <v>Long-Term Debt</v>
      </c>
      <c r="U61" s="33" t="e">
        <f>#REF!/#REF!</f>
        <v>#REF!</v>
      </c>
      <c r="V61" s="33" t="e">
        <f>#REF!/#REF!</f>
        <v>#REF!</v>
      </c>
      <c r="W61" s="33" t="e">
        <f>#REF!/#REF!</f>
        <v>#REF!</v>
      </c>
      <c r="X61" s="33" t="e">
        <f>#REF!/#REF!</f>
        <v>#REF!</v>
      </c>
      <c r="Y61" s="33" t="e">
        <f>#REF!/#REF!</f>
        <v>#REF!</v>
      </c>
      <c r="Z61" s="33" t="e">
        <f>#REF!/#REF!</f>
        <v>#REF!</v>
      </c>
      <c r="AA61" s="33" t="e">
        <f>#REF!/#REF!</f>
        <v>#REF!</v>
      </c>
      <c r="AB61" s="33" t="e">
        <f>#REF!/#REF!</f>
        <v>#REF!</v>
      </c>
      <c r="AC61" s="33" t="e">
        <f>#REF!/#REF!</f>
        <v>#REF!</v>
      </c>
      <c r="AD61" s="33" t="e">
        <f>#REF!/#REF!</f>
        <v>#REF!</v>
      </c>
      <c r="AE61" s="33">
        <f t="shared" ref="AE61:AQ62" si="129">B61/B$44</f>
        <v>0.27630498095735945</v>
      </c>
      <c r="AF61" s="33">
        <f t="shared" si="129"/>
        <v>0.26075249769715864</v>
      </c>
      <c r="AG61" s="113">
        <f t="shared" si="129"/>
        <v>0.19099260896594597</v>
      </c>
      <c r="AH61" s="113">
        <f t="shared" si="129"/>
        <v>0.23657170983818376</v>
      </c>
      <c r="AI61" s="113">
        <f t="shared" si="129"/>
        <v>0.29820352599866101</v>
      </c>
      <c r="AJ61" s="113">
        <f t="shared" si="129"/>
        <v>0.27145759268664293</v>
      </c>
      <c r="AK61" s="113">
        <f t="shared" si="129"/>
        <v>0.24339708561020032</v>
      </c>
      <c r="AL61" s="113">
        <f t="shared" si="129"/>
        <v>0.24588071015360061</v>
      </c>
      <c r="AM61" s="113">
        <f t="shared" si="129"/>
        <v>0.22088368300096375</v>
      </c>
      <c r="AN61" s="113">
        <f t="shared" si="129"/>
        <v>0.26471319481442018</v>
      </c>
      <c r="AO61" s="113">
        <f t="shared" si="129"/>
        <v>0.24673093916617847</v>
      </c>
      <c r="AP61" s="113">
        <f t="shared" si="129"/>
        <v>0.22750289793179179</v>
      </c>
      <c r="AQ61" s="113">
        <f t="shared" si="129"/>
        <v>0.27569588699626085</v>
      </c>
      <c r="AR61" s="113">
        <f t="shared" ref="AR61:AR63" si="130">O61/O$44</f>
        <v>0.28904418080932365</v>
      </c>
      <c r="AS61" s="113">
        <f t="shared" ref="AS61:AS63" si="131">P61/P$44</f>
        <v>0.26776114097836234</v>
      </c>
      <c r="AT61" s="113">
        <f t="shared" ref="AT61:AT63" si="132">Q61/Q$44</f>
        <v>0.32407620980763024</v>
      </c>
      <c r="AU61" s="113">
        <f t="shared" ref="AU61:AU68" si="133">R61/R$44</f>
        <v>0.33045645885755942</v>
      </c>
      <c r="AV61" s="113">
        <f t="shared" ref="AV61:AV63" si="134">SUM(M61:Q61)/SUM(M$44:Q$44)</f>
        <v>0.2793668383850485</v>
      </c>
      <c r="AW61" s="2"/>
    </row>
    <row r="62" spans="1:49" ht="15" x14ac:dyDescent="0.2">
      <c r="A62" s="77" t="s">
        <v>9</v>
      </c>
      <c r="B62" s="171">
        <v>189</v>
      </c>
      <c r="C62" s="171">
        <v>230.3</v>
      </c>
      <c r="D62" s="171">
        <v>259.8</v>
      </c>
      <c r="E62" s="171">
        <v>301.60000000000002</v>
      </c>
      <c r="F62" s="171">
        <v>340.7</v>
      </c>
      <c r="G62" s="171">
        <v>377.5</v>
      </c>
      <c r="H62" s="171">
        <v>436.7</v>
      </c>
      <c r="I62" s="171">
        <v>475.8</v>
      </c>
      <c r="J62" s="171">
        <v>276.10000000000002</v>
      </c>
      <c r="K62" s="171">
        <v>279.2</v>
      </c>
      <c r="L62" s="171">
        <v>303.89999999999998</v>
      </c>
      <c r="M62" s="171">
        <v>321.2</v>
      </c>
      <c r="N62" s="171">
        <v>345.6</v>
      </c>
      <c r="O62" s="171">
        <v>395.6</v>
      </c>
      <c r="P62" s="171">
        <v>402.8</v>
      </c>
      <c r="Q62" s="171">
        <v>271</v>
      </c>
      <c r="R62" s="155">
        <v>295.8</v>
      </c>
      <c r="S62" s="113">
        <f t="shared" si="128"/>
        <v>-3.3417894178649758E-2</v>
      </c>
      <c r="T62" s="59" t="str">
        <f>A62</f>
        <v>Deferred Income Taxes</v>
      </c>
      <c r="U62" s="33" t="e">
        <f>#REF!/#REF!</f>
        <v>#REF!</v>
      </c>
      <c r="V62" s="33" t="e">
        <f>#REF!/#REF!</f>
        <v>#REF!</v>
      </c>
      <c r="W62" s="33" t="e">
        <f>#REF!/#REF!</f>
        <v>#REF!</v>
      </c>
      <c r="X62" s="33" t="e">
        <f>#REF!/#REF!</f>
        <v>#REF!</v>
      </c>
      <c r="Y62" s="33" t="e">
        <f>#REF!/#REF!</f>
        <v>#REF!</v>
      </c>
      <c r="Z62" s="33" t="e">
        <f>#REF!/#REF!</f>
        <v>#REF!</v>
      </c>
      <c r="AA62" s="33" t="e">
        <f>#REF!/#REF!</f>
        <v>#REF!</v>
      </c>
      <c r="AB62" s="33" t="e">
        <f>#REF!/#REF!</f>
        <v>#REF!</v>
      </c>
      <c r="AC62" s="33" t="e">
        <f>#REF!/#REF!</f>
        <v>#REF!</v>
      </c>
      <c r="AD62" s="33" t="e">
        <f>#REF!/#REF!</f>
        <v>#REF!</v>
      </c>
      <c r="AE62" s="33">
        <f t="shared" si="129"/>
        <v>0.14113957135389441</v>
      </c>
      <c r="AF62" s="33">
        <f t="shared" si="129"/>
        <v>0.16318288103167294</v>
      </c>
      <c r="AG62" s="113">
        <f t="shared" si="129"/>
        <v>0.17945706983491055</v>
      </c>
      <c r="AH62" s="113">
        <f t="shared" si="129"/>
        <v>0.18556574170922296</v>
      </c>
      <c r="AI62" s="113">
        <f t="shared" si="129"/>
        <v>0.19008033920999776</v>
      </c>
      <c r="AJ62" s="113">
        <f t="shared" si="129"/>
        <v>0.19172168613509394</v>
      </c>
      <c r="AK62" s="113">
        <f t="shared" si="129"/>
        <v>0.19886156648451725</v>
      </c>
      <c r="AL62" s="113">
        <f t="shared" si="129"/>
        <v>0.1898264512268103</v>
      </c>
      <c r="AM62" s="113">
        <f t="shared" si="129"/>
        <v>0.10234264956631331</v>
      </c>
      <c r="AN62" s="113">
        <f t="shared" si="129"/>
        <v>9.916533475404013E-2</v>
      </c>
      <c r="AO62" s="113">
        <f t="shared" si="129"/>
        <v>0.10057884964802366</v>
      </c>
      <c r="AP62" s="113">
        <f t="shared" si="129"/>
        <v>9.7980599109267263E-2</v>
      </c>
      <c r="AQ62" s="113">
        <f t="shared" si="129"/>
        <v>9.5720814291649345E-2</v>
      </c>
      <c r="AR62" s="113">
        <f t="shared" si="130"/>
        <v>9.1844078657163403E-2</v>
      </c>
      <c r="AS62" s="113">
        <f t="shared" si="131"/>
        <v>8.9483271870973505E-2</v>
      </c>
      <c r="AT62" s="113">
        <f t="shared" si="132"/>
        <v>6.2508649720902337E-2</v>
      </c>
      <c r="AU62" s="113">
        <f t="shared" si="133"/>
        <v>6.9562354490511014E-2</v>
      </c>
      <c r="AV62" s="113">
        <f t="shared" si="134"/>
        <v>8.6667864701888891E-2</v>
      </c>
      <c r="AW62" s="2"/>
    </row>
    <row r="63" spans="1:49" ht="15" x14ac:dyDescent="0.2">
      <c r="A63" s="77" t="s">
        <v>195</v>
      </c>
      <c r="B63" s="171"/>
      <c r="C63" s="171"/>
      <c r="D63" s="171"/>
      <c r="E63" s="171">
        <v>46.7</v>
      </c>
      <c r="F63" s="171">
        <v>53</v>
      </c>
      <c r="G63" s="171">
        <v>60.9</v>
      </c>
      <c r="H63" s="171">
        <v>65.599999999999994</v>
      </c>
      <c r="I63" s="171">
        <v>189.1</v>
      </c>
      <c r="J63" s="171">
        <v>441</v>
      </c>
      <c r="K63" s="171">
        <v>454.2</v>
      </c>
      <c r="L63" s="171">
        <v>436</v>
      </c>
      <c r="M63" s="171">
        <v>419</v>
      </c>
      <c r="N63" s="171">
        <v>435.8</v>
      </c>
      <c r="O63" s="171">
        <v>446.9</v>
      </c>
      <c r="P63" s="171">
        <v>455.6</v>
      </c>
      <c r="Q63" s="171">
        <v>476.9</v>
      </c>
      <c r="R63" s="171">
        <v>490.7</v>
      </c>
      <c r="S63" s="113">
        <f t="shared" si="128"/>
        <v>2.6225164326317576E-2</v>
      </c>
      <c r="T63" s="59" t="str">
        <f>+A63</f>
        <v>Noncurrent Regulatory Liabilities</v>
      </c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13"/>
      <c r="AH63" s="113"/>
      <c r="AI63" s="113">
        <f t="shared" ref="AI63:AQ63" si="135">F63/F$44</f>
        <v>2.9569292568623073E-2</v>
      </c>
      <c r="AJ63" s="113">
        <f t="shared" si="135"/>
        <v>3.0929405789740981E-2</v>
      </c>
      <c r="AK63" s="113">
        <f t="shared" si="135"/>
        <v>2.9872495446265929E-2</v>
      </c>
      <c r="AL63" s="113">
        <f t="shared" si="135"/>
        <v>7.5443846000398954E-2</v>
      </c>
      <c r="AM63" s="113">
        <f t="shared" si="135"/>
        <v>0.16346652828230412</v>
      </c>
      <c r="AN63" s="113">
        <f t="shared" si="135"/>
        <v>0.16132125732551944</v>
      </c>
      <c r="AO63" s="113">
        <f t="shared" si="135"/>
        <v>0.14429871157136662</v>
      </c>
      <c r="AP63" s="113">
        <f t="shared" si="135"/>
        <v>0.1278140442925996</v>
      </c>
      <c r="AQ63" s="113">
        <f t="shared" si="135"/>
        <v>0.1207035036698518</v>
      </c>
      <c r="AR63" s="113">
        <f t="shared" si="130"/>
        <v>0.10375409189051142</v>
      </c>
      <c r="AS63" s="113">
        <f t="shared" si="131"/>
        <v>0.10121295596925405</v>
      </c>
      <c r="AT63" s="113">
        <f t="shared" si="132"/>
        <v>0.11000138395534438</v>
      </c>
      <c r="AU63" s="113">
        <f t="shared" si="133"/>
        <v>0.11539637372715941</v>
      </c>
      <c r="AV63" s="113">
        <f t="shared" si="134"/>
        <v>0.1115270955632762</v>
      </c>
      <c r="AW63" s="2"/>
    </row>
    <row r="64" spans="1:49" ht="15" x14ac:dyDescent="0.2">
      <c r="A64" s="59" t="s">
        <v>249</v>
      </c>
      <c r="B64" s="155"/>
      <c r="C64" s="155"/>
      <c r="D64" s="155"/>
      <c r="E64" s="155"/>
      <c r="F64" s="155"/>
      <c r="G64" s="155"/>
      <c r="H64" s="155"/>
      <c r="I64" s="171">
        <v>13</v>
      </c>
      <c r="J64" s="155">
        <v>14.9</v>
      </c>
      <c r="K64" s="171">
        <v>8.1999999999999993</v>
      </c>
      <c r="L64" s="155"/>
      <c r="M64" s="155"/>
      <c r="N64" s="155"/>
      <c r="O64" s="155"/>
      <c r="P64" s="155"/>
      <c r="Q64" s="155"/>
      <c r="R64" s="155"/>
      <c r="S64" s="113"/>
      <c r="T64" s="59" t="str">
        <f>+A64</f>
        <v>Pension and Post Retirement Benefit</v>
      </c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13"/>
      <c r="AH64" s="113"/>
      <c r="AI64" s="113"/>
      <c r="AJ64" s="113"/>
      <c r="AK64" s="113"/>
      <c r="AL64" s="113">
        <f t="shared" ref="AL64:AN68" si="136">I64/I$44</f>
        <v>5.1865150608418117E-3</v>
      </c>
      <c r="AM64" s="113">
        <f t="shared" si="136"/>
        <v>5.5230187560234272E-3</v>
      </c>
      <c r="AN64" s="113">
        <f t="shared" si="136"/>
        <v>2.912448943349316E-3</v>
      </c>
      <c r="AO64" s="113"/>
      <c r="AP64" s="113"/>
      <c r="AQ64" s="113"/>
      <c r="AR64" s="113"/>
      <c r="AS64" s="113"/>
      <c r="AT64" s="113"/>
      <c r="AU64" s="113"/>
      <c r="AV64" s="113"/>
      <c r="AW64" s="2"/>
    </row>
    <row r="65" spans="1:49" ht="15" x14ac:dyDescent="0.2">
      <c r="A65" s="59" t="s">
        <v>238</v>
      </c>
      <c r="B65" s="155"/>
      <c r="C65" s="155"/>
      <c r="D65" s="155"/>
      <c r="E65" s="155"/>
      <c r="F65" s="155"/>
      <c r="G65" s="155"/>
      <c r="H65" s="155"/>
      <c r="I65" s="171">
        <v>76.2</v>
      </c>
      <c r="J65" s="155">
        <v>76.900000000000006</v>
      </c>
      <c r="K65" s="171">
        <v>77.900000000000006</v>
      </c>
      <c r="L65" s="155">
        <v>79.5</v>
      </c>
      <c r="M65" s="155">
        <v>83.3</v>
      </c>
      <c r="N65" s="155">
        <v>6.9</v>
      </c>
      <c r="O65" s="155">
        <v>6.5</v>
      </c>
      <c r="P65" s="155">
        <v>5.9</v>
      </c>
      <c r="Q65" s="155">
        <v>5.6</v>
      </c>
      <c r="R65" s="155">
        <v>4.8</v>
      </c>
      <c r="S65" s="113">
        <f>RATE(5,,-M65,Q65)</f>
        <v>-0.41721467799755724</v>
      </c>
      <c r="T65" s="59" t="str">
        <f>+A65</f>
        <v>Asset Retirement Obligations</v>
      </c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13"/>
      <c r="AH65" s="113"/>
      <c r="AI65" s="113"/>
      <c r="AJ65" s="113"/>
      <c r="AK65" s="113"/>
      <c r="AL65" s="113">
        <f t="shared" si="136"/>
        <v>3.0400957510472771E-2</v>
      </c>
      <c r="AM65" s="113">
        <f t="shared" si="136"/>
        <v>2.8504707539476617E-2</v>
      </c>
      <c r="AN65" s="113">
        <f t="shared" si="136"/>
        <v>2.7668264961818508E-2</v>
      </c>
      <c r="AO65" s="113">
        <f t="shared" ref="AO65:AQ68" si="137">L65/L$44</f>
        <v>2.6311347637439555E-2</v>
      </c>
      <c r="AP65" s="113">
        <f t="shared" si="137"/>
        <v>2.5410286132633759E-2</v>
      </c>
      <c r="AQ65" s="113">
        <f t="shared" si="137"/>
        <v>1.9110926464478602E-3</v>
      </c>
      <c r="AR65" s="113">
        <f t="shared" ref="AR65" si="138">O65/O$44</f>
        <v>1.5090660042253845E-3</v>
      </c>
      <c r="AS65" s="113">
        <f t="shared" ref="AS65" si="139">P65/P$44</f>
        <v>1.3107033367396814E-3</v>
      </c>
      <c r="AT65" s="113">
        <f t="shared" ref="AT65" si="140">Q65/Q$44</f>
        <v>1.2916916547492734E-3</v>
      </c>
      <c r="AU65" s="113">
        <f t="shared" si="133"/>
        <v>1.1288008842273592E-3</v>
      </c>
      <c r="AV65" s="113">
        <f>SUM(M65:Q65)/SUM(M$44:Q$44)</f>
        <v>5.4011421269118641E-3</v>
      </c>
      <c r="AW65" s="2"/>
    </row>
    <row r="66" spans="1:49" ht="15" x14ac:dyDescent="0.2">
      <c r="A66" s="59" t="s">
        <v>278</v>
      </c>
      <c r="B66" s="155"/>
      <c r="C66" s="155"/>
      <c r="D66" s="155"/>
      <c r="E66" s="155"/>
      <c r="F66" s="155"/>
      <c r="G66" s="155"/>
      <c r="H66" s="155"/>
      <c r="I66" s="171"/>
      <c r="J66" s="155"/>
      <c r="K66" s="171"/>
      <c r="L66" s="155"/>
      <c r="M66" s="155"/>
      <c r="N66" s="155"/>
      <c r="O66" s="155"/>
      <c r="P66" s="155"/>
      <c r="Q66" s="155">
        <v>18.8</v>
      </c>
      <c r="R66" s="155">
        <v>16.7</v>
      </c>
      <c r="S66" s="113"/>
      <c r="T66" s="59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>
        <f t="shared" si="133"/>
        <v>3.9272864097076874E-3</v>
      </c>
      <c r="AV66" s="113"/>
      <c r="AW66" s="2"/>
    </row>
    <row r="67" spans="1:49" ht="15" x14ac:dyDescent="0.2">
      <c r="A67" s="59" t="s">
        <v>61</v>
      </c>
      <c r="B67" s="119">
        <v>58.7</v>
      </c>
      <c r="C67" s="119">
        <v>51</v>
      </c>
      <c r="D67" s="119">
        <v>31.4</v>
      </c>
      <c r="E67" s="119">
        <v>26.4</v>
      </c>
      <c r="F67" s="119">
        <v>32.299999999999997</v>
      </c>
      <c r="G67" s="119">
        <v>32</v>
      </c>
      <c r="H67" s="119">
        <v>25.9</v>
      </c>
      <c r="I67" s="168">
        <v>19.2</v>
      </c>
      <c r="J67" s="119">
        <v>15.8</v>
      </c>
      <c r="K67" s="168">
        <f>2.7+8.5</f>
        <v>11.2</v>
      </c>
      <c r="L67" s="119">
        <v>14.9</v>
      </c>
      <c r="M67" s="119">
        <v>14.9</v>
      </c>
      <c r="N67" s="119">
        <v>14.3</v>
      </c>
      <c r="O67" s="119">
        <v>15.3</v>
      </c>
      <c r="P67" s="119">
        <v>15</v>
      </c>
      <c r="Q67" s="119">
        <v>27</v>
      </c>
      <c r="R67" s="119">
        <v>27.5</v>
      </c>
      <c r="S67" s="113">
        <f t="shared" ref="S67:S68" si="141">RATE(5,,-M67,Q67)</f>
        <v>0.12625180275622447</v>
      </c>
      <c r="T67" s="59" t="str">
        <f>A67</f>
        <v>Other Deferred Credits</v>
      </c>
      <c r="U67" s="63" t="e">
        <f>#REF!/#REF!</f>
        <v>#REF!</v>
      </c>
      <c r="V67" s="63" t="e">
        <f>#REF!/#REF!</f>
        <v>#REF!</v>
      </c>
      <c r="W67" s="63" t="e">
        <f>#REF!/#REF!</f>
        <v>#REF!</v>
      </c>
      <c r="X67" s="63" t="e">
        <f>#REF!/#REF!</f>
        <v>#REF!</v>
      </c>
      <c r="Y67" s="63" t="e">
        <f>#REF!/#REF!</f>
        <v>#REF!</v>
      </c>
      <c r="Z67" s="63" t="e">
        <f>#REF!/#REF!</f>
        <v>#REF!</v>
      </c>
      <c r="AA67" s="63" t="e">
        <f>#REF!/#REF!</f>
        <v>#REF!</v>
      </c>
      <c r="AB67" s="63" t="e">
        <f>#REF!/#REF!</f>
        <v>#REF!</v>
      </c>
      <c r="AC67" s="63" t="e">
        <f>#REF!/#REF!</f>
        <v>#REF!</v>
      </c>
      <c r="AD67" s="63" t="e">
        <f>#REF!/#REF!</f>
        <v>#REF!</v>
      </c>
      <c r="AE67" s="63">
        <f t="shared" ref="AE67:AK68" si="142">B67/B$44</f>
        <v>4.3835411843775672E-2</v>
      </c>
      <c r="AF67" s="63">
        <f t="shared" si="142"/>
        <v>3.6136895061291009E-2</v>
      </c>
      <c r="AG67" s="235">
        <f t="shared" si="142"/>
        <v>2.1689576569731295E-2</v>
      </c>
      <c r="AH67" s="235">
        <f t="shared" si="142"/>
        <v>1.624315510982588E-2</v>
      </c>
      <c r="AI67" s="235">
        <f t="shared" si="142"/>
        <v>1.8020531131443873E-2</v>
      </c>
      <c r="AJ67" s="235">
        <f t="shared" si="142"/>
        <v>1.6251904520060943E-2</v>
      </c>
      <c r="AK67" s="235">
        <f t="shared" si="142"/>
        <v>1.1794171220400726E-2</v>
      </c>
      <c r="AL67" s="235">
        <f t="shared" si="136"/>
        <v>7.6600837821663671E-3</v>
      </c>
      <c r="AM67" s="235">
        <f t="shared" si="136"/>
        <v>5.8566239157832314E-3</v>
      </c>
      <c r="AN67" s="235">
        <f t="shared" si="136"/>
        <v>3.977979044574676E-3</v>
      </c>
      <c r="AO67" s="235">
        <f t="shared" si="137"/>
        <v>4.9313091798471624E-3</v>
      </c>
      <c r="AP67" s="235">
        <f t="shared" si="137"/>
        <v>4.5451772314074792E-3</v>
      </c>
      <c r="AQ67" s="235">
        <f t="shared" si="137"/>
        <v>3.9606702672760003E-3</v>
      </c>
      <c r="AR67" s="235">
        <f t="shared" ref="AR67:AR68" si="143">O67/O$44</f>
        <v>3.5521092099459052E-3</v>
      </c>
      <c r="AS67" s="235">
        <f t="shared" ref="AS67:AS68" si="144">P67/P$44</f>
        <v>3.3322966188296982E-3</v>
      </c>
      <c r="AT67" s="235">
        <f t="shared" ref="AT67:AT68" si="145">Q67/Q$44</f>
        <v>6.2277990496839974E-3</v>
      </c>
      <c r="AU67" s="235">
        <f t="shared" si="133"/>
        <v>6.4670883992192455E-3</v>
      </c>
      <c r="AV67" s="113">
        <f t="shared" ref="AV67:AV68" si="146">SUM(M67:Q67)/SUM(M$44:Q$44)</f>
        <v>4.3179186134739023E-3</v>
      </c>
      <c r="AW67" s="2"/>
    </row>
    <row r="68" spans="1:49" ht="15" x14ac:dyDescent="0.2">
      <c r="A68" s="59" t="s">
        <v>62</v>
      </c>
      <c r="B68" s="178">
        <f t="shared" ref="B68" si="147">SUM(B61:B67)</f>
        <v>617.70000000000005</v>
      </c>
      <c r="C68" s="178">
        <f t="shared" ref="C68:R68" si="148">SUM(C61:C67)</f>
        <v>649.29999999999995</v>
      </c>
      <c r="D68" s="178">
        <f t="shared" si="148"/>
        <v>567.69999999999993</v>
      </c>
      <c r="E68" s="178">
        <f t="shared" si="148"/>
        <v>759.2</v>
      </c>
      <c r="F68" s="178">
        <f t="shared" si="148"/>
        <v>960.5</v>
      </c>
      <c r="G68" s="178">
        <f t="shared" si="148"/>
        <v>1004.9</v>
      </c>
      <c r="H68" s="178">
        <f t="shared" si="148"/>
        <v>1062.7</v>
      </c>
      <c r="I68" s="178">
        <f t="shared" si="148"/>
        <v>1389.6</v>
      </c>
      <c r="J68" s="178">
        <f t="shared" si="148"/>
        <v>1420.6000000000001</v>
      </c>
      <c r="K68" s="193">
        <f t="shared" si="148"/>
        <v>1576.0000000000002</v>
      </c>
      <c r="L68" s="178">
        <f t="shared" ref="L68:M68" si="149">SUM(L61:L67)</f>
        <v>1579.8000000000002</v>
      </c>
      <c r="M68" s="178">
        <f t="shared" si="149"/>
        <v>1584.2</v>
      </c>
      <c r="N68" s="178">
        <f t="shared" ref="N68:P68" si="150">SUM(N61:N67)</f>
        <v>1798</v>
      </c>
      <c r="O68" s="178">
        <f t="shared" si="150"/>
        <v>2109.3000000000002</v>
      </c>
      <c r="P68" s="178">
        <f t="shared" si="150"/>
        <v>2084.6</v>
      </c>
      <c r="Q68" s="178">
        <f t="shared" ref="Q68" si="151">SUM(Q61:Q67)</f>
        <v>2204.3000000000002</v>
      </c>
      <c r="R68" s="178">
        <f t="shared" si="148"/>
        <v>2240.6999999999998</v>
      </c>
      <c r="S68" s="113">
        <f t="shared" si="141"/>
        <v>6.8297318630956866E-2</v>
      </c>
      <c r="T68" s="59" t="str">
        <f>A68</f>
        <v>Total LTD &amp; Deferrals</v>
      </c>
      <c r="U68" s="33" t="e">
        <f>#REF!/#REF!</f>
        <v>#REF!</v>
      </c>
      <c r="V68" s="33" t="e">
        <f>#REF!/#REF!</f>
        <v>#REF!</v>
      </c>
      <c r="W68" s="33" t="e">
        <f>#REF!/#REF!</f>
        <v>#REF!</v>
      </c>
      <c r="X68" s="33" t="e">
        <f>#REF!/#REF!</f>
        <v>#REF!</v>
      </c>
      <c r="Y68" s="33" t="e">
        <f>#REF!/#REF!</f>
        <v>#REF!</v>
      </c>
      <c r="Z68" s="33" t="e">
        <f>#REF!/#REF!</f>
        <v>#REF!</v>
      </c>
      <c r="AA68" s="33" t="e">
        <f>#REF!/#REF!</f>
        <v>#REF!</v>
      </c>
      <c r="AB68" s="33" t="e">
        <f>#REF!/#REF!</f>
        <v>#REF!</v>
      </c>
      <c r="AC68" s="33" t="e">
        <f>#REF!/#REF!</f>
        <v>#REF!</v>
      </c>
      <c r="AD68" s="33" t="e">
        <f>#REF!/#REF!</f>
        <v>#REF!</v>
      </c>
      <c r="AE68" s="33">
        <f t="shared" si="142"/>
        <v>0.46127996415502959</v>
      </c>
      <c r="AF68" s="33">
        <f t="shared" si="142"/>
        <v>0.46007227379012255</v>
      </c>
      <c r="AG68" s="113">
        <f t="shared" si="142"/>
        <v>0.39213925537058775</v>
      </c>
      <c r="AH68" s="113">
        <f t="shared" si="142"/>
        <v>0.4671137636128716</v>
      </c>
      <c r="AI68" s="113">
        <f t="shared" si="142"/>
        <v>0.53587368890872566</v>
      </c>
      <c r="AJ68" s="113">
        <f t="shared" si="142"/>
        <v>0.51036058913153881</v>
      </c>
      <c r="AK68" s="113">
        <f t="shared" si="142"/>
        <v>0.48392531876138428</v>
      </c>
      <c r="AL68" s="113">
        <f t="shared" si="136"/>
        <v>0.55439856373429086</v>
      </c>
      <c r="AM68" s="113">
        <f t="shared" si="136"/>
        <v>0.52657721106086453</v>
      </c>
      <c r="AN68" s="113">
        <f t="shared" si="136"/>
        <v>0.55975847984372229</v>
      </c>
      <c r="AO68" s="113">
        <f t="shared" si="137"/>
        <v>0.52285115720285558</v>
      </c>
      <c r="AP68" s="113">
        <f t="shared" si="137"/>
        <v>0.48325300469769994</v>
      </c>
      <c r="AQ68" s="113">
        <f t="shared" si="137"/>
        <v>0.49799196787148586</v>
      </c>
      <c r="AR68" s="113">
        <f t="shared" si="143"/>
        <v>0.48970352657116978</v>
      </c>
      <c r="AS68" s="113">
        <f t="shared" si="144"/>
        <v>0.46310036877415928</v>
      </c>
      <c r="AT68" s="113">
        <f t="shared" si="145"/>
        <v>0.50844212760068286</v>
      </c>
      <c r="AU68" s="113">
        <f t="shared" si="133"/>
        <v>0.52693836276838413</v>
      </c>
      <c r="AV68" s="113">
        <f t="shared" si="146"/>
        <v>0.4882193203146839</v>
      </c>
      <c r="AW68" s="2"/>
    </row>
    <row r="69" spans="1:49" ht="12" customHeight="1" x14ac:dyDescent="0.2">
      <c r="A69" s="59"/>
      <c r="B69" s="119"/>
      <c r="C69" s="119"/>
      <c r="D69" s="119"/>
      <c r="E69" s="119"/>
      <c r="F69" s="119"/>
      <c r="G69" s="119"/>
      <c r="H69" s="119"/>
      <c r="I69" s="119"/>
      <c r="J69" s="119"/>
      <c r="K69" s="168"/>
      <c r="L69" s="119"/>
      <c r="M69" s="119"/>
      <c r="N69" s="119"/>
      <c r="O69" s="119"/>
      <c r="P69" s="119"/>
      <c r="Q69" s="119"/>
      <c r="R69" s="119"/>
      <c r="S69" s="113"/>
      <c r="T69" s="59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</row>
    <row r="70" spans="1:49" ht="15" x14ac:dyDescent="0.2">
      <c r="A70" s="59" t="s">
        <v>39</v>
      </c>
      <c r="B70" s="155">
        <f t="shared" ref="B70:E70" si="152">B68+B59</f>
        <v>940.10000000000014</v>
      </c>
      <c r="C70" s="155">
        <f t="shared" si="152"/>
        <v>995.8</v>
      </c>
      <c r="D70" s="155">
        <f>D68+D59</f>
        <v>995.3</v>
      </c>
      <c r="E70" s="155">
        <f t="shared" si="152"/>
        <v>1157.7</v>
      </c>
      <c r="F70" s="155">
        <f t="shared" ref="F70:K70" si="153">F68+F59</f>
        <v>1216.0999999999999</v>
      </c>
      <c r="G70" s="155">
        <f t="shared" si="153"/>
        <v>1372</v>
      </c>
      <c r="H70" s="155">
        <f t="shared" si="153"/>
        <v>1571.3000000000002</v>
      </c>
      <c r="I70" s="155">
        <f t="shared" si="153"/>
        <v>1848.8999999999999</v>
      </c>
      <c r="J70" s="155">
        <f t="shared" si="153"/>
        <v>1972.7000000000003</v>
      </c>
      <c r="K70" s="171">
        <f t="shared" si="153"/>
        <v>1803.7000000000003</v>
      </c>
      <c r="L70" s="155">
        <f t="shared" ref="L70:M70" si="154">L68+L59</f>
        <v>1915.9</v>
      </c>
      <c r="M70" s="155">
        <f t="shared" si="154"/>
        <v>2055.2000000000003</v>
      </c>
      <c r="N70" s="155">
        <f t="shared" ref="N70:P70" si="155">N68+N59</f>
        <v>2364.8000000000002</v>
      </c>
      <c r="O70" s="155">
        <f t="shared" si="155"/>
        <v>2832.7000000000003</v>
      </c>
      <c r="P70" s="155">
        <f t="shared" si="155"/>
        <v>2902.4</v>
      </c>
      <c r="Q70" s="155">
        <f t="shared" ref="Q70" si="156">Q68+Q59</f>
        <v>2715.7000000000003</v>
      </c>
      <c r="R70" s="155">
        <f>R68+R59</f>
        <v>2575.6999999999998</v>
      </c>
      <c r="S70" s="113">
        <f>RATE(5,,-M70,Q70)</f>
        <v>5.7317791642706034E-2</v>
      </c>
      <c r="T70" s="59" t="str">
        <f>A70</f>
        <v>Total Liabilities</v>
      </c>
      <c r="U70" s="33" t="e">
        <f>#REF!/#REF!</f>
        <v>#REF!</v>
      </c>
      <c r="V70" s="33" t="e">
        <f>#REF!/#REF!</f>
        <v>#REF!</v>
      </c>
      <c r="W70" s="33" t="e">
        <f>#REF!/#REF!</f>
        <v>#REF!</v>
      </c>
      <c r="X70" s="33" t="e">
        <f>#REF!/#REF!</f>
        <v>#REF!</v>
      </c>
      <c r="Y70" s="33" t="e">
        <f>#REF!/#REF!</f>
        <v>#REF!</v>
      </c>
      <c r="Z70" s="33" t="e">
        <f>#REF!/#REF!</f>
        <v>#REF!</v>
      </c>
      <c r="AA70" s="33" t="e">
        <f>#REF!/#REF!</f>
        <v>#REF!</v>
      </c>
      <c r="AB70" s="33" t="e">
        <f>#REF!/#REF!</f>
        <v>#REF!</v>
      </c>
      <c r="AC70" s="33" t="e">
        <f>#REF!/#REF!</f>
        <v>#REF!</v>
      </c>
      <c r="AD70" s="33" t="e">
        <f>#REF!/#REF!</f>
        <v>#REF!</v>
      </c>
      <c r="AE70" s="33">
        <f t="shared" ref="AE70:AQ70" si="157">B70/B$44</f>
        <v>0.70203868269733416</v>
      </c>
      <c r="AF70" s="33">
        <f t="shared" si="157"/>
        <v>0.70559059023595261</v>
      </c>
      <c r="AG70" s="113">
        <f t="shared" si="157"/>
        <v>0.68750431719278848</v>
      </c>
      <c r="AH70" s="113">
        <f t="shared" si="157"/>
        <v>0.7122992678274781</v>
      </c>
      <c r="AI70" s="113">
        <f t="shared" si="157"/>
        <v>0.67847578665476449</v>
      </c>
      <c r="AJ70" s="113">
        <f t="shared" si="157"/>
        <v>0.69680040629761297</v>
      </c>
      <c r="AK70" s="113">
        <f t="shared" si="157"/>
        <v>0.71552823315118386</v>
      </c>
      <c r="AL70" s="113">
        <f t="shared" si="157"/>
        <v>0.73764213046080185</v>
      </c>
      <c r="AM70" s="113">
        <f t="shared" si="157"/>
        <v>0.73122544295351788</v>
      </c>
      <c r="AN70" s="113">
        <f t="shared" si="157"/>
        <v>0.64063221452672714</v>
      </c>
      <c r="AO70" s="113">
        <f t="shared" si="157"/>
        <v>0.63408693004491135</v>
      </c>
      <c r="AP70" s="113">
        <f t="shared" si="157"/>
        <v>0.62692941248245992</v>
      </c>
      <c r="AQ70" s="113">
        <f t="shared" si="157"/>
        <v>0.65497853482897106</v>
      </c>
      <c r="AR70" s="113">
        <f t="shared" ref="AR70" si="158">O70/O$44</f>
        <v>0.65765096464142259</v>
      </c>
      <c r="AS70" s="113">
        <f t="shared" ref="AS70" si="159">P70/P$44</f>
        <v>0.64477718043275445</v>
      </c>
      <c r="AT70" s="113">
        <f t="shared" ref="AT70" si="160">Q70/Q$44</f>
        <v>0.62640125478617903</v>
      </c>
      <c r="AU70" s="113">
        <f t="shared" ref="AU70" si="161">R70/R$44</f>
        <v>0.60571925781341851</v>
      </c>
      <c r="AV70" s="113">
        <f>SUM(M70:Q70)/SUM(M$44:Q$44)</f>
        <v>0.64248632243121273</v>
      </c>
      <c r="AW70" s="2"/>
    </row>
    <row r="71" spans="1:49" ht="12" customHeight="1" x14ac:dyDescent="0.2">
      <c r="A71" s="59"/>
      <c r="B71" s="155"/>
      <c r="C71" s="155"/>
      <c r="D71" s="155"/>
      <c r="E71" s="155"/>
      <c r="F71" s="155"/>
      <c r="G71" s="155"/>
      <c r="H71" s="155"/>
      <c r="I71" s="155"/>
      <c r="J71" s="155"/>
      <c r="K71" s="171"/>
      <c r="L71" s="155"/>
      <c r="M71" s="155"/>
      <c r="N71" s="155"/>
      <c r="O71" s="155"/>
      <c r="P71" s="155"/>
      <c r="Q71" s="155"/>
      <c r="R71" s="155"/>
      <c r="S71" s="113"/>
      <c r="T71" s="59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2"/>
    </row>
    <row r="72" spans="1:49" ht="15" hidden="1" x14ac:dyDescent="0.2">
      <c r="A72" s="59" t="s">
        <v>63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71"/>
      <c r="L72" s="155"/>
      <c r="M72" s="155"/>
      <c r="N72" s="155"/>
      <c r="O72" s="155"/>
      <c r="P72" s="155"/>
      <c r="Q72" s="155"/>
      <c r="R72" s="155"/>
      <c r="S72" s="113"/>
      <c r="T72" s="59" t="str">
        <f>A72</f>
        <v>Preferred Stock</v>
      </c>
      <c r="U72" s="33" t="e">
        <f>#REF!/#REF!</f>
        <v>#REF!</v>
      </c>
      <c r="V72" s="33" t="e">
        <f>#REF!/#REF!</f>
        <v>#REF!</v>
      </c>
      <c r="W72" s="33" t="e">
        <f>#REF!/#REF!</f>
        <v>#REF!</v>
      </c>
      <c r="X72" s="33" t="e">
        <f>#REF!/#REF!</f>
        <v>#REF!</v>
      </c>
      <c r="Y72" s="33"/>
      <c r="Z72" s="33"/>
      <c r="AA72" s="33"/>
      <c r="AB72" s="33"/>
      <c r="AC72" s="33"/>
      <c r="AD72" s="33"/>
      <c r="AE72" s="33"/>
      <c r="AF72" s="3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2"/>
    </row>
    <row r="73" spans="1:49" ht="12" hidden="1" customHeight="1" x14ac:dyDescent="0.2">
      <c r="A73" s="59"/>
      <c r="B73" s="155"/>
      <c r="C73" s="155"/>
      <c r="D73" s="155"/>
      <c r="E73" s="155"/>
      <c r="F73" s="155"/>
      <c r="G73" s="155"/>
      <c r="H73" s="155"/>
      <c r="I73" s="155"/>
      <c r="J73" s="155"/>
      <c r="K73" s="171"/>
      <c r="L73" s="155"/>
      <c r="M73" s="155"/>
      <c r="N73" s="155"/>
      <c r="O73" s="155"/>
      <c r="P73" s="155"/>
      <c r="Q73" s="155"/>
      <c r="R73" s="155"/>
      <c r="S73" s="113"/>
      <c r="T73" s="59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2"/>
    </row>
    <row r="74" spans="1:49" ht="15.75" x14ac:dyDescent="0.25">
      <c r="A74" s="81" t="s">
        <v>66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71"/>
      <c r="L74" s="155"/>
      <c r="M74" s="155"/>
      <c r="N74" s="155"/>
      <c r="O74" s="155"/>
      <c r="P74" s="155"/>
      <c r="Q74" s="155"/>
      <c r="R74" s="155"/>
      <c r="S74" s="113"/>
      <c r="T74" s="81" t="str">
        <f>A74</f>
        <v>Common Equity:</v>
      </c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2"/>
    </row>
    <row r="75" spans="1:49" ht="15" x14ac:dyDescent="0.2">
      <c r="A75" s="66" t="s">
        <v>4</v>
      </c>
      <c r="B75" s="155">
        <f>23+148.9</f>
        <v>171.9</v>
      </c>
      <c r="C75" s="155">
        <f>23+150.3</f>
        <v>173.3</v>
      </c>
      <c r="D75" s="155">
        <f>23+171.4</f>
        <v>194.4</v>
      </c>
      <c r="E75" s="155">
        <f>23+172.5</f>
        <v>195.5</v>
      </c>
      <c r="F75" s="155">
        <f>23+263.9</f>
        <v>286.89999999999998</v>
      </c>
      <c r="G75" s="155">
        <f>23+265.4</f>
        <v>288.39999999999998</v>
      </c>
      <c r="H75" s="155">
        <f>23+266.8</f>
        <v>289.8</v>
      </c>
      <c r="I75" s="155">
        <f>23+272.5</f>
        <v>295.5</v>
      </c>
      <c r="J75" s="155">
        <f>23+272.5</f>
        <v>295.5</v>
      </c>
      <c r="K75" s="171">
        <f>23+475.7</f>
        <v>498.7</v>
      </c>
      <c r="L75" s="155">
        <f>23+475.7</f>
        <v>498.7</v>
      </c>
      <c r="M75" s="155">
        <f>23+475.7</f>
        <v>498.7</v>
      </c>
      <c r="N75" s="155">
        <f>23+475.7</f>
        <v>498.7</v>
      </c>
      <c r="O75" s="155">
        <f>23+575.7</f>
        <v>598.70000000000005</v>
      </c>
      <c r="P75" s="155">
        <f>23+575.7</f>
        <v>598.70000000000005</v>
      </c>
      <c r="Q75" s="155">
        <f>23+611.9</f>
        <v>634.9</v>
      </c>
      <c r="R75" s="155">
        <f>23+605.9</f>
        <v>628.9</v>
      </c>
      <c r="S75" s="113">
        <f t="shared" ref="S75:S78" si="162">RATE(5,,-M75,Q75)</f>
        <v>4.9477644257534238E-2</v>
      </c>
      <c r="T75" s="59" t="str">
        <f>A75</f>
        <v>Common Stock</v>
      </c>
      <c r="U75" s="33" t="e">
        <f>#REF!/#REF!</f>
        <v>#REF!</v>
      </c>
      <c r="V75" s="33" t="e">
        <f>#REF!/#REF!</f>
        <v>#REF!</v>
      </c>
      <c r="W75" s="33" t="e">
        <f>#REF!/#REF!</f>
        <v>#REF!</v>
      </c>
      <c r="X75" s="33" t="e">
        <f>#REF!/#REF!</f>
        <v>#REF!</v>
      </c>
      <c r="Y75" s="33" t="e">
        <f>#REF!/#REF!</f>
        <v>#REF!</v>
      </c>
      <c r="Z75" s="33" t="e">
        <f>#REF!/#REF!</f>
        <v>#REF!</v>
      </c>
      <c r="AA75" s="33" t="e">
        <f>#REF!/#REF!</f>
        <v>#REF!</v>
      </c>
      <c r="AB75" s="33" t="e">
        <f>#REF!/#REF!</f>
        <v>#REF!</v>
      </c>
      <c r="AC75" s="33" t="e">
        <f>#REF!/#REF!</f>
        <v>#REF!</v>
      </c>
      <c r="AD75" s="33" t="e">
        <f>#REF!/#REF!</f>
        <v>#REF!</v>
      </c>
      <c r="AE75" s="33">
        <f t="shared" ref="AE75:AQ78" si="163">B75/B$44</f>
        <v>0.12836980061235159</v>
      </c>
      <c r="AF75" s="33">
        <f t="shared" si="163"/>
        <v>0.12279458655140651</v>
      </c>
      <c r="AG75" s="113">
        <f t="shared" si="163"/>
        <v>0.1342819644954065</v>
      </c>
      <c r="AH75" s="113">
        <f t="shared" si="163"/>
        <v>0.12028548575647575</v>
      </c>
      <c r="AI75" s="113">
        <f t="shared" si="163"/>
        <v>0.16006471769694264</v>
      </c>
      <c r="AJ75" s="113">
        <f t="shared" si="163"/>
        <v>0.14647028948704924</v>
      </c>
      <c r="AK75" s="113">
        <f t="shared" si="163"/>
        <v>0.13196721311475407</v>
      </c>
      <c r="AL75" s="113">
        <f t="shared" si="163"/>
        <v>0.11789347695990425</v>
      </c>
      <c r="AM75" s="113">
        <f t="shared" si="163"/>
        <v>0.10953369412113576</v>
      </c>
      <c r="AN75" s="113">
        <f t="shared" si="163"/>
        <v>0.1771266204936956</v>
      </c>
      <c r="AO75" s="113">
        <f t="shared" si="163"/>
        <v>0.1650499253684416</v>
      </c>
      <c r="AP75" s="113">
        <f t="shared" si="163"/>
        <v>0.15212616679885302</v>
      </c>
      <c r="AQ75" s="113">
        <f t="shared" si="163"/>
        <v>0.13812491344689098</v>
      </c>
      <c r="AR75" s="113">
        <f t="shared" ref="AR75:AR78" si="164">O75/O$44</f>
        <v>0.13899658718919042</v>
      </c>
      <c r="AS75" s="113">
        <f t="shared" ref="AS75:AS78" si="165">P75/P$44</f>
        <v>0.13300306571288936</v>
      </c>
      <c r="AT75" s="113">
        <f t="shared" ref="AT75:AT78" si="166">Q75/Q$44</f>
        <v>0.14644554135719889</v>
      </c>
      <c r="AU75" s="113">
        <f t="shared" ref="AU75:AU78" si="167">R75/R$44</f>
        <v>0.14789643251887213</v>
      </c>
      <c r="AV75" s="113">
        <f t="shared" ref="AV75:AV78" si="168">SUM(M75:Q75)/SUM(M$44:Q$44)</f>
        <v>0.14125334451499541</v>
      </c>
      <c r="AW75" s="2"/>
    </row>
    <row r="76" spans="1:49" ht="15" x14ac:dyDescent="0.2">
      <c r="A76" s="66" t="s">
        <v>27</v>
      </c>
      <c r="B76" s="155">
        <v>227.1</v>
      </c>
      <c r="C76" s="155">
        <v>242.2</v>
      </c>
      <c r="D76" s="155">
        <v>258</v>
      </c>
      <c r="E76" s="155">
        <v>272.10000000000002</v>
      </c>
      <c r="F76" s="155">
        <v>289.39999999999998</v>
      </c>
      <c r="G76" s="155">
        <v>308.60000000000002</v>
      </c>
      <c r="H76" s="155">
        <v>334.9</v>
      </c>
      <c r="I76" s="155">
        <v>362.1</v>
      </c>
      <c r="J76" s="155">
        <v>429.6</v>
      </c>
      <c r="K76" s="171">
        <v>513.1</v>
      </c>
      <c r="L76" s="155">
        <v>606.9</v>
      </c>
      <c r="M76" s="155">
        <v>724.3</v>
      </c>
      <c r="N76" s="155">
        <v>747</v>
      </c>
      <c r="O76" s="155">
        <v>875.9</v>
      </c>
      <c r="P76" s="155">
        <v>1000.3</v>
      </c>
      <c r="Q76" s="155">
        <f>1026.3-41.5</f>
        <v>984.8</v>
      </c>
      <c r="R76" s="155">
        <f>1088.5-40.8</f>
        <v>1047.7</v>
      </c>
      <c r="S76" s="113">
        <f t="shared" si="162"/>
        <v>6.33736903692982E-2</v>
      </c>
      <c r="T76" s="59" t="str">
        <f>A76</f>
        <v>Retained Earnings</v>
      </c>
      <c r="U76" s="63" t="e">
        <f>#REF!/#REF!</f>
        <v>#REF!</v>
      </c>
      <c r="V76" s="63" t="e">
        <f>#REF!/#REF!</f>
        <v>#REF!</v>
      </c>
      <c r="W76" s="63" t="e">
        <f>#REF!/#REF!</f>
        <v>#REF!</v>
      </c>
      <c r="X76" s="63" t="e">
        <f>#REF!/#REF!</f>
        <v>#REF!</v>
      </c>
      <c r="Y76" s="63" t="e">
        <f>#REF!/#REF!</f>
        <v>#REF!</v>
      </c>
      <c r="Z76" s="63" t="e">
        <f>#REF!/#REF!</f>
        <v>#REF!</v>
      </c>
      <c r="AA76" s="63" t="e">
        <f>#REF!/#REF!</f>
        <v>#REF!</v>
      </c>
      <c r="AB76" s="63" t="e">
        <f>#REF!/#REF!</f>
        <v>#REF!</v>
      </c>
      <c r="AC76" s="63" t="e">
        <f>#REF!/#REF!</f>
        <v>#REF!</v>
      </c>
      <c r="AD76" s="63" t="e">
        <f>#REF!/#REF!</f>
        <v>#REF!</v>
      </c>
      <c r="AE76" s="63">
        <f t="shared" si="163"/>
        <v>0.16959151669031439</v>
      </c>
      <c r="AF76" s="63">
        <f t="shared" si="163"/>
        <v>0.17161482321264082</v>
      </c>
      <c r="AG76" s="235">
        <f t="shared" si="163"/>
        <v>0.17821371831180494</v>
      </c>
      <c r="AH76" s="235">
        <f t="shared" si="163"/>
        <v>0.1674152464160463</v>
      </c>
      <c r="AI76" s="235">
        <f t="shared" si="163"/>
        <v>0.16145949564829276</v>
      </c>
      <c r="AJ76" s="235">
        <f t="shared" si="163"/>
        <v>0.15672930421533773</v>
      </c>
      <c r="AK76" s="235">
        <f t="shared" si="163"/>
        <v>0.15250455373406188</v>
      </c>
      <c r="AL76" s="235">
        <f t="shared" si="163"/>
        <v>0.14446439257929383</v>
      </c>
      <c r="AM76" s="235">
        <f t="shared" si="163"/>
        <v>0.15924086292534662</v>
      </c>
      <c r="AN76" s="235">
        <f t="shared" si="163"/>
        <v>0.18224116497957735</v>
      </c>
      <c r="AO76" s="235">
        <f t="shared" si="163"/>
        <v>0.20085983498317064</v>
      </c>
      <c r="AP76" s="235">
        <f t="shared" si="163"/>
        <v>0.22094442071868706</v>
      </c>
      <c r="AQ76" s="235">
        <f t="shared" si="163"/>
        <v>0.2068965517241379</v>
      </c>
      <c r="AR76" s="235">
        <f t="shared" si="164"/>
        <v>0.2033524481693868</v>
      </c>
      <c r="AS76" s="235">
        <f t="shared" si="165"/>
        <v>0.22221975385435647</v>
      </c>
      <c r="AT76" s="235">
        <f t="shared" si="166"/>
        <v>0.22715320385662224</v>
      </c>
      <c r="AU76" s="235">
        <f t="shared" si="167"/>
        <v>0.24638430966770924</v>
      </c>
      <c r="AV76" s="113">
        <f t="shared" si="168"/>
        <v>0.21626033305379175</v>
      </c>
      <c r="AW76" s="2"/>
    </row>
    <row r="77" spans="1:49" ht="15" x14ac:dyDescent="0.2">
      <c r="A77" s="59" t="s">
        <v>67</v>
      </c>
      <c r="B77" s="178">
        <f t="shared" ref="B77:R77" si="169">SUM(B74:B76)</f>
        <v>399</v>
      </c>
      <c r="C77" s="178">
        <f t="shared" si="169"/>
        <v>415.5</v>
      </c>
      <c r="D77" s="178">
        <f t="shared" si="169"/>
        <v>452.4</v>
      </c>
      <c r="E77" s="178">
        <f t="shared" si="169"/>
        <v>467.6</v>
      </c>
      <c r="F77" s="178">
        <f t="shared" si="169"/>
        <v>576.29999999999995</v>
      </c>
      <c r="G77" s="178">
        <f t="shared" si="169"/>
        <v>597</v>
      </c>
      <c r="H77" s="178">
        <f t="shared" si="169"/>
        <v>624.70000000000005</v>
      </c>
      <c r="I77" s="178">
        <f t="shared" si="169"/>
        <v>657.6</v>
      </c>
      <c r="J77" s="178">
        <f t="shared" si="169"/>
        <v>725.1</v>
      </c>
      <c r="K77" s="193">
        <f t="shared" si="169"/>
        <v>1011.8</v>
      </c>
      <c r="L77" s="178">
        <f t="shared" ref="L77:M77" si="170">SUM(L74:L76)</f>
        <v>1105.5999999999999</v>
      </c>
      <c r="M77" s="178">
        <f t="shared" si="170"/>
        <v>1223</v>
      </c>
      <c r="N77" s="178">
        <f t="shared" ref="N77:P77" si="171">SUM(N74:N76)</f>
        <v>1245.7</v>
      </c>
      <c r="O77" s="178">
        <f t="shared" si="171"/>
        <v>1474.6</v>
      </c>
      <c r="P77" s="178">
        <f t="shared" si="171"/>
        <v>1599</v>
      </c>
      <c r="Q77" s="178">
        <f t="shared" ref="Q77" si="172">SUM(Q74:Q76)</f>
        <v>1619.6999999999998</v>
      </c>
      <c r="R77" s="178">
        <f t="shared" si="169"/>
        <v>1676.6</v>
      </c>
      <c r="S77" s="113">
        <f t="shared" si="162"/>
        <v>5.7795280520840188E-2</v>
      </c>
      <c r="T77" s="59" t="str">
        <f>A77</f>
        <v>Total Common Equity</v>
      </c>
      <c r="U77" s="63" t="e">
        <f>#REF!/#REF!</f>
        <v>#REF!</v>
      </c>
      <c r="V77" s="63" t="e">
        <f>#REF!/#REF!</f>
        <v>#REF!</v>
      </c>
      <c r="W77" s="63" t="e">
        <f>#REF!/#REF!</f>
        <v>#REF!</v>
      </c>
      <c r="X77" s="63" t="e">
        <f>#REF!/#REF!</f>
        <v>#REF!</v>
      </c>
      <c r="Y77" s="63" t="e">
        <f>#REF!/#REF!</f>
        <v>#REF!</v>
      </c>
      <c r="Z77" s="63" t="e">
        <f>#REF!/#REF!</f>
        <v>#REF!</v>
      </c>
      <c r="AA77" s="63" t="e">
        <f>#REF!/#REF!</f>
        <v>#REF!</v>
      </c>
      <c r="AB77" s="63" t="e">
        <f>#REF!/#REF!</f>
        <v>#REF!</v>
      </c>
      <c r="AC77" s="63" t="e">
        <f>#REF!/#REF!</f>
        <v>#REF!</v>
      </c>
      <c r="AD77" s="63" t="e">
        <f>#REF!/#REF!</f>
        <v>#REF!</v>
      </c>
      <c r="AE77" s="63">
        <f t="shared" si="163"/>
        <v>0.29796131730266601</v>
      </c>
      <c r="AF77" s="63">
        <f t="shared" si="163"/>
        <v>0.29440940976404734</v>
      </c>
      <c r="AG77" s="235">
        <f t="shared" si="163"/>
        <v>0.31249568280721141</v>
      </c>
      <c r="AH77" s="235">
        <f t="shared" si="163"/>
        <v>0.28770073217252207</v>
      </c>
      <c r="AI77" s="235">
        <f t="shared" si="163"/>
        <v>0.3215242133452354</v>
      </c>
      <c r="AJ77" s="235">
        <f t="shared" si="163"/>
        <v>0.30319959370238697</v>
      </c>
      <c r="AK77" s="235">
        <f t="shared" si="163"/>
        <v>0.28447176684881598</v>
      </c>
      <c r="AL77" s="235">
        <f t="shared" si="163"/>
        <v>0.2623578695391981</v>
      </c>
      <c r="AM77" s="235">
        <f t="shared" si="163"/>
        <v>0.26877455704648234</v>
      </c>
      <c r="AN77" s="235">
        <f t="shared" si="163"/>
        <v>0.35936778547327292</v>
      </c>
      <c r="AO77" s="235">
        <f t="shared" si="163"/>
        <v>0.36590976035161221</v>
      </c>
      <c r="AP77" s="235">
        <f t="shared" si="163"/>
        <v>0.37307058751754008</v>
      </c>
      <c r="AQ77" s="235">
        <f t="shared" si="163"/>
        <v>0.34502146517102888</v>
      </c>
      <c r="AR77" s="235">
        <f t="shared" si="164"/>
        <v>0.34234903535857719</v>
      </c>
      <c r="AS77" s="235">
        <f t="shared" si="165"/>
        <v>0.35522281956724583</v>
      </c>
      <c r="AT77" s="235">
        <f t="shared" si="166"/>
        <v>0.37359874521382108</v>
      </c>
      <c r="AU77" s="235">
        <f t="shared" si="167"/>
        <v>0.39428074218658132</v>
      </c>
      <c r="AV77" s="113">
        <f t="shared" si="168"/>
        <v>0.3575136775687871</v>
      </c>
      <c r="AW77" s="2"/>
    </row>
    <row r="78" spans="1:49" ht="15.75" thickBot="1" x14ac:dyDescent="0.25">
      <c r="A78" s="59" t="s">
        <v>40</v>
      </c>
      <c r="B78" s="191">
        <f t="shared" ref="B78:R78" si="173">B77+B70+B72</f>
        <v>1339.1000000000001</v>
      </c>
      <c r="C78" s="191">
        <f t="shared" si="173"/>
        <v>1411.3</v>
      </c>
      <c r="D78" s="191">
        <f t="shared" si="173"/>
        <v>1447.6999999999998</v>
      </c>
      <c r="E78" s="191">
        <f t="shared" si="173"/>
        <v>1625.3000000000002</v>
      </c>
      <c r="F78" s="191">
        <f t="shared" si="173"/>
        <v>1792.3999999999999</v>
      </c>
      <c r="G78" s="191">
        <f t="shared" si="173"/>
        <v>1969</v>
      </c>
      <c r="H78" s="191">
        <f t="shared" si="173"/>
        <v>2196</v>
      </c>
      <c r="I78" s="191">
        <f t="shared" si="173"/>
        <v>2506.5</v>
      </c>
      <c r="J78" s="191">
        <f t="shared" si="173"/>
        <v>2697.8</v>
      </c>
      <c r="K78" s="222">
        <f t="shared" si="173"/>
        <v>2815.5</v>
      </c>
      <c r="L78" s="191">
        <f t="shared" ref="L78:M78" si="174">L77+L70+L72</f>
        <v>3021.5</v>
      </c>
      <c r="M78" s="191">
        <f t="shared" si="174"/>
        <v>3278.2000000000003</v>
      </c>
      <c r="N78" s="191">
        <f t="shared" ref="N78:P78" si="175">N77+N70+N72</f>
        <v>3610.5</v>
      </c>
      <c r="O78" s="191">
        <f t="shared" si="175"/>
        <v>4307.3</v>
      </c>
      <c r="P78" s="191">
        <f t="shared" si="175"/>
        <v>4501.3999999999996</v>
      </c>
      <c r="Q78" s="191">
        <f t="shared" ref="Q78" si="176">Q77+Q70+Q72</f>
        <v>4335.3999999999996</v>
      </c>
      <c r="R78" s="191">
        <f t="shared" si="173"/>
        <v>4252.2999999999993</v>
      </c>
      <c r="S78" s="113">
        <f t="shared" si="162"/>
        <v>5.7496029563234421E-2</v>
      </c>
      <c r="T78" s="59" t="str">
        <f>A78</f>
        <v>Total Liabilities &amp; Equity</v>
      </c>
      <c r="U78" s="67" t="e">
        <f>#REF!/#REF!</f>
        <v>#REF!</v>
      </c>
      <c r="V78" s="67" t="e">
        <f>#REF!/#REF!</f>
        <v>#REF!</v>
      </c>
      <c r="W78" s="67" t="e">
        <f>#REF!/#REF!</f>
        <v>#REF!</v>
      </c>
      <c r="X78" s="67" t="e">
        <f>#REF!/#REF!</f>
        <v>#REF!</v>
      </c>
      <c r="Y78" s="67" t="e">
        <f>#REF!/#REF!</f>
        <v>#REF!</v>
      </c>
      <c r="Z78" s="67" t="e">
        <f>#REF!/#REF!</f>
        <v>#REF!</v>
      </c>
      <c r="AA78" s="67" t="e">
        <f>#REF!/#REF!</f>
        <v>#REF!</v>
      </c>
      <c r="AB78" s="67" t="e">
        <f>#REF!/#REF!</f>
        <v>#REF!</v>
      </c>
      <c r="AC78" s="67" t="e">
        <f>#REF!/#REF!</f>
        <v>#REF!</v>
      </c>
      <c r="AD78" s="67" t="e">
        <f>#REF!/#REF!</f>
        <v>#REF!</v>
      </c>
      <c r="AE78" s="67">
        <f t="shared" si="163"/>
        <v>1.0000000000000002</v>
      </c>
      <c r="AF78" s="67">
        <f t="shared" si="163"/>
        <v>1</v>
      </c>
      <c r="AG78" s="237">
        <f t="shared" si="163"/>
        <v>0.99999999999999989</v>
      </c>
      <c r="AH78" s="237">
        <f t="shared" si="163"/>
        <v>1.0000000000000002</v>
      </c>
      <c r="AI78" s="237">
        <f t="shared" si="163"/>
        <v>0.99999999999999989</v>
      </c>
      <c r="AJ78" s="237">
        <f t="shared" si="163"/>
        <v>0.99999999999999989</v>
      </c>
      <c r="AK78" s="237">
        <f t="shared" si="163"/>
        <v>0.99999999999999978</v>
      </c>
      <c r="AL78" s="237">
        <f t="shared" si="163"/>
        <v>1</v>
      </c>
      <c r="AM78" s="237">
        <f t="shared" si="163"/>
        <v>1.0000000000000002</v>
      </c>
      <c r="AN78" s="237">
        <f t="shared" si="163"/>
        <v>1</v>
      </c>
      <c r="AO78" s="237">
        <f t="shared" si="163"/>
        <v>0.9999966903965235</v>
      </c>
      <c r="AP78" s="237">
        <f t="shared" si="163"/>
        <v>1</v>
      </c>
      <c r="AQ78" s="237">
        <f t="shared" si="163"/>
        <v>0.99999999999999989</v>
      </c>
      <c r="AR78" s="237">
        <f t="shared" si="164"/>
        <v>0.99999999999999978</v>
      </c>
      <c r="AS78" s="237">
        <f t="shared" si="165"/>
        <v>1.0000000000000002</v>
      </c>
      <c r="AT78" s="237">
        <f t="shared" si="166"/>
        <v>1</v>
      </c>
      <c r="AU78" s="237">
        <f t="shared" si="167"/>
        <v>0.99999999999999978</v>
      </c>
      <c r="AV78" s="113">
        <f t="shared" si="168"/>
        <v>0.99999999999999978</v>
      </c>
      <c r="AW78" s="2"/>
    </row>
    <row r="79" spans="1:49" ht="15.75" thickTop="1" x14ac:dyDescent="0.2">
      <c r="A79" s="59"/>
      <c r="B79" s="155">
        <f>+B78-B44</f>
        <v>0</v>
      </c>
      <c r="C79" s="155">
        <f>+C78-C44</f>
        <v>0</v>
      </c>
      <c r="D79" s="155">
        <f>+D78-D44</f>
        <v>0</v>
      </c>
      <c r="E79" s="155">
        <f t="shared" ref="E79:R79" si="177">+E78-E44</f>
        <v>0</v>
      </c>
      <c r="F79" s="155">
        <f t="shared" si="177"/>
        <v>0</v>
      </c>
      <c r="G79" s="155">
        <f t="shared" si="177"/>
        <v>0</v>
      </c>
      <c r="H79" s="155">
        <f t="shared" si="177"/>
        <v>0</v>
      </c>
      <c r="I79" s="155">
        <f t="shared" si="177"/>
        <v>0</v>
      </c>
      <c r="J79" s="155">
        <f>+J78-J44</f>
        <v>0</v>
      </c>
      <c r="K79" s="171">
        <f>+K78-K44</f>
        <v>0</v>
      </c>
      <c r="L79" s="155">
        <f t="shared" ref="L79:M79" si="178">+L78-L44</f>
        <v>-1.0000000000218279E-2</v>
      </c>
      <c r="M79" s="155">
        <f t="shared" si="178"/>
        <v>0</v>
      </c>
      <c r="N79" s="155">
        <f t="shared" ref="N79:P79" si="179">+N78-N44</f>
        <v>0</v>
      </c>
      <c r="O79" s="155">
        <f t="shared" si="179"/>
        <v>0</v>
      </c>
      <c r="P79" s="155">
        <f t="shared" si="179"/>
        <v>0</v>
      </c>
      <c r="Q79" s="155">
        <f t="shared" ref="Q79" si="180">+Q78-Q44</f>
        <v>0</v>
      </c>
      <c r="R79" s="98">
        <f t="shared" si="177"/>
        <v>0</v>
      </c>
      <c r="S79" s="33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33"/>
      <c r="AW79" s="2"/>
    </row>
    <row r="80" spans="1:4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51"/>
      <c r="L80" s="251"/>
      <c r="M80" s="251"/>
      <c r="N80" s="251"/>
      <c r="O80" s="251"/>
      <c r="P80" s="251"/>
      <c r="Q80" s="251"/>
      <c r="R80" s="2"/>
      <c r="AW80" s="2"/>
    </row>
    <row r="81" spans="1:5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51"/>
      <c r="L81" s="251"/>
      <c r="M81" s="251"/>
      <c r="N81" s="251"/>
      <c r="O81" s="251"/>
      <c r="P81" s="251"/>
      <c r="Q81" s="251"/>
      <c r="R81" s="2"/>
      <c r="S81" s="73" t="s">
        <v>109</v>
      </c>
      <c r="T81" s="2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73" t="s">
        <v>109</v>
      </c>
      <c r="AW81" s="2"/>
    </row>
    <row r="82" spans="1:50" ht="15.75" x14ac:dyDescent="0.25">
      <c r="A82" s="2"/>
      <c r="B82" s="2"/>
      <c r="C82" s="2"/>
      <c r="D82" s="2"/>
      <c r="E82" s="137"/>
      <c r="F82" s="137"/>
      <c r="G82" s="137"/>
      <c r="H82" s="137"/>
      <c r="I82" s="137"/>
      <c r="J82" s="137"/>
      <c r="K82" s="252"/>
      <c r="L82" s="252"/>
      <c r="M82" s="252"/>
      <c r="N82" s="252"/>
      <c r="O82" s="252"/>
      <c r="P82" s="252"/>
      <c r="Q82" s="252"/>
      <c r="R82" s="137"/>
      <c r="S82" s="108" t="s">
        <v>271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108" t="s">
        <v>232</v>
      </c>
      <c r="AW82" s="2"/>
    </row>
    <row r="83" spans="1:50" ht="20.25" x14ac:dyDescent="0.3">
      <c r="A83" s="313" t="str">
        <f>A3</f>
        <v>Questar Gas Company dba Enbridge Gas Utah</v>
      </c>
      <c r="B83" s="313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 t="str">
        <f>A3</f>
        <v>Questar Gas Company dba Enbridge Gas Utah</v>
      </c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2"/>
    </row>
    <row r="84" spans="1:50" ht="15.75" x14ac:dyDescent="0.25">
      <c r="A84" s="311" t="s">
        <v>12</v>
      </c>
      <c r="B84" s="311"/>
      <c r="C84" s="311"/>
      <c r="D84" s="31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311"/>
      <c r="R84" s="311"/>
      <c r="S84" s="311"/>
      <c r="T84" s="311" t="s">
        <v>44</v>
      </c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  <c r="AN84" s="311"/>
      <c r="AO84" s="311"/>
      <c r="AP84" s="311"/>
      <c r="AQ84" s="311"/>
      <c r="AR84" s="311"/>
      <c r="AS84" s="311"/>
      <c r="AT84" s="311"/>
      <c r="AU84" s="311"/>
      <c r="AV84" s="311"/>
      <c r="AW84" s="2"/>
    </row>
    <row r="85" spans="1:50" ht="15.75" x14ac:dyDescent="0.25">
      <c r="A85" s="312" t="str">
        <f>A5</f>
        <v>Years Ended December 31</v>
      </c>
      <c r="B85" s="312"/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1" t="s">
        <v>12</v>
      </c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  <c r="AN85" s="311"/>
      <c r="AO85" s="311"/>
      <c r="AP85" s="311"/>
      <c r="AQ85" s="311"/>
      <c r="AR85" s="311"/>
      <c r="AS85" s="311"/>
      <c r="AT85" s="311"/>
      <c r="AU85" s="311"/>
      <c r="AV85" s="311"/>
      <c r="AW85" s="2"/>
    </row>
    <row r="86" spans="1:50" ht="15.75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279"/>
      <c r="L86" s="279"/>
      <c r="M86" s="279"/>
      <c r="N86" s="279"/>
      <c r="O86" s="279"/>
      <c r="P86" s="279"/>
      <c r="Q86" s="279"/>
      <c r="R86" s="54"/>
      <c r="S86" s="68"/>
      <c r="T86" s="54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6"/>
      <c r="AW86" s="2"/>
    </row>
    <row r="87" spans="1:50" ht="15.75" x14ac:dyDescent="0.25">
      <c r="A87" s="192" t="s">
        <v>235</v>
      </c>
      <c r="B87" s="84"/>
      <c r="C87" s="84"/>
      <c r="D87" s="84"/>
      <c r="E87" s="84"/>
      <c r="F87" s="84"/>
      <c r="G87" s="176"/>
      <c r="H87" s="176"/>
      <c r="I87" s="176"/>
      <c r="J87" s="176"/>
      <c r="K87" s="284"/>
      <c r="L87" s="284"/>
      <c r="M87" s="284"/>
      <c r="N87" s="284"/>
      <c r="O87" s="284"/>
      <c r="P87" s="284"/>
      <c r="Q87" s="284"/>
      <c r="R87" s="84"/>
      <c r="S87" s="179" t="str">
        <f>S6</f>
        <v xml:space="preserve">5 Year Avg </v>
      </c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0"/>
      <c r="AW87" s="2"/>
    </row>
    <row r="88" spans="1:50" ht="15" customHeight="1" x14ac:dyDescent="0.25">
      <c r="A88" s="69"/>
      <c r="B88" s="72"/>
      <c r="C88" s="72"/>
      <c r="D88" s="72"/>
      <c r="E88" s="132"/>
      <c r="F88" s="72"/>
      <c r="G88" s="72"/>
      <c r="H88" s="72"/>
      <c r="I88" s="72"/>
      <c r="J88" s="72"/>
      <c r="K88" s="285"/>
      <c r="L88" s="285"/>
      <c r="M88" s="285"/>
      <c r="N88" s="285"/>
      <c r="O88" s="285"/>
      <c r="P88" s="285"/>
      <c r="Q88" s="285"/>
      <c r="R88" s="72" t="str">
        <f>+R7</f>
        <v>3rd Qrtr</v>
      </c>
      <c r="S88" s="180" t="str">
        <f>+S7</f>
        <v>Annual</v>
      </c>
      <c r="T88" s="69"/>
      <c r="U88" s="69"/>
      <c r="V88" s="69"/>
      <c r="W88" s="69"/>
      <c r="X88" s="69"/>
      <c r="Y88" s="69"/>
      <c r="Z88" s="69"/>
      <c r="AA88" s="71"/>
      <c r="AB88" s="71"/>
      <c r="AC88" s="71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 t="str">
        <f>+R88</f>
        <v>3rd Qrtr</v>
      </c>
      <c r="AV88" s="82" t="str">
        <f>+AV7</f>
        <v>2020 to 2024</v>
      </c>
      <c r="AW88" s="2"/>
    </row>
    <row r="89" spans="1:50" ht="15.75" x14ac:dyDescent="0.25">
      <c r="A89" s="76" t="s">
        <v>0</v>
      </c>
      <c r="B89" s="75">
        <f t="shared" ref="B89:R89" si="181">+B8</f>
        <v>2009</v>
      </c>
      <c r="C89" s="75">
        <f t="shared" si="181"/>
        <v>2010</v>
      </c>
      <c r="D89" s="75">
        <f t="shared" si="181"/>
        <v>2011</v>
      </c>
      <c r="E89" s="133">
        <f t="shared" si="181"/>
        <v>2012</v>
      </c>
      <c r="F89" s="133">
        <f t="shared" si="181"/>
        <v>2013</v>
      </c>
      <c r="G89" s="133">
        <f t="shared" si="181"/>
        <v>2014</v>
      </c>
      <c r="H89" s="133">
        <f t="shared" si="181"/>
        <v>2015</v>
      </c>
      <c r="I89" s="133">
        <f t="shared" si="181"/>
        <v>2016</v>
      </c>
      <c r="J89" s="133">
        <f t="shared" si="181"/>
        <v>2017</v>
      </c>
      <c r="K89" s="286">
        <f t="shared" si="181"/>
        <v>2018</v>
      </c>
      <c r="L89" s="286">
        <f t="shared" si="181"/>
        <v>2019</v>
      </c>
      <c r="M89" s="286">
        <f t="shared" si="181"/>
        <v>2020</v>
      </c>
      <c r="N89" s="286">
        <f t="shared" si="181"/>
        <v>2021</v>
      </c>
      <c r="O89" s="286">
        <f t="shared" si="181"/>
        <v>2022</v>
      </c>
      <c r="P89" s="286">
        <f t="shared" si="181"/>
        <v>2023</v>
      </c>
      <c r="Q89" s="286">
        <f t="shared" ref="Q89" si="182">+Q8</f>
        <v>2024</v>
      </c>
      <c r="R89" s="133">
        <f t="shared" si="181"/>
        <v>2025</v>
      </c>
      <c r="S89" s="181" t="s">
        <v>23</v>
      </c>
      <c r="T89" s="76" t="s">
        <v>0</v>
      </c>
      <c r="U89" s="75" t="e">
        <f>#REF!</f>
        <v>#REF!</v>
      </c>
      <c r="V89" s="75" t="e">
        <f>#REF!</f>
        <v>#REF!</v>
      </c>
      <c r="W89" s="75" t="e">
        <f>#REF!</f>
        <v>#REF!</v>
      </c>
      <c r="X89" s="75" t="e">
        <f>#REF!</f>
        <v>#REF!</v>
      </c>
      <c r="Y89" s="75" t="e">
        <f>#REF!</f>
        <v>#REF!</v>
      </c>
      <c r="Z89" s="75" t="e">
        <f>#REF!</f>
        <v>#REF!</v>
      </c>
      <c r="AA89" s="75" t="e">
        <f>#REF!</f>
        <v>#REF!</v>
      </c>
      <c r="AB89" s="75" t="e">
        <f>#REF!</f>
        <v>#REF!</v>
      </c>
      <c r="AC89" s="75" t="e">
        <f>#REF!</f>
        <v>#REF!</v>
      </c>
      <c r="AD89" s="75" t="e">
        <f>#REF!</f>
        <v>#REF!</v>
      </c>
      <c r="AE89" s="75">
        <f>+B89</f>
        <v>2009</v>
      </c>
      <c r="AF89" s="75">
        <f t="shared" ref="AF89:AQ89" si="183">+AF8</f>
        <v>2010</v>
      </c>
      <c r="AG89" s="75">
        <f t="shared" si="183"/>
        <v>2011</v>
      </c>
      <c r="AH89" s="75">
        <f t="shared" si="183"/>
        <v>2012</v>
      </c>
      <c r="AI89" s="75">
        <f t="shared" si="183"/>
        <v>2013</v>
      </c>
      <c r="AJ89" s="75">
        <f t="shared" si="183"/>
        <v>2014</v>
      </c>
      <c r="AK89" s="75">
        <f t="shared" si="183"/>
        <v>2015</v>
      </c>
      <c r="AL89" s="75">
        <f t="shared" si="183"/>
        <v>2016</v>
      </c>
      <c r="AM89" s="75">
        <f t="shared" si="183"/>
        <v>2017</v>
      </c>
      <c r="AN89" s="75">
        <f t="shared" si="183"/>
        <v>2018</v>
      </c>
      <c r="AO89" s="75">
        <f t="shared" si="183"/>
        <v>2019</v>
      </c>
      <c r="AP89" s="75">
        <f t="shared" si="183"/>
        <v>2020</v>
      </c>
      <c r="AQ89" s="75">
        <f t="shared" si="183"/>
        <v>2021</v>
      </c>
      <c r="AR89" s="75">
        <f t="shared" ref="AR89:AT89" si="184">+AR8</f>
        <v>2022</v>
      </c>
      <c r="AS89" s="75">
        <f t="shared" si="184"/>
        <v>2023</v>
      </c>
      <c r="AT89" s="75">
        <f t="shared" si="184"/>
        <v>2024</v>
      </c>
      <c r="AU89" s="75">
        <f>+AU8</f>
        <v>2025</v>
      </c>
      <c r="AV89" s="83" t="s">
        <v>2</v>
      </c>
      <c r="AW89" s="2"/>
    </row>
    <row r="90" spans="1:50" ht="15" customHeight="1" x14ac:dyDescent="0.2">
      <c r="A90" s="59"/>
      <c r="B90" s="60"/>
      <c r="C90" s="60"/>
      <c r="D90" s="60"/>
      <c r="E90" s="60"/>
      <c r="F90" s="60"/>
      <c r="G90" s="60"/>
      <c r="H90" s="60"/>
      <c r="I90" s="60"/>
      <c r="J90" s="60"/>
      <c r="K90" s="287"/>
      <c r="L90" s="287"/>
      <c r="M90" s="287"/>
      <c r="N90" s="287"/>
      <c r="O90" s="287"/>
      <c r="P90" s="287"/>
      <c r="Q90" s="287"/>
      <c r="R90" s="60"/>
      <c r="S90" s="61"/>
      <c r="T90" s="59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1"/>
      <c r="AW90" s="2"/>
    </row>
    <row r="91" spans="1:50" ht="15.75" x14ac:dyDescent="0.25">
      <c r="A91" s="81" t="s">
        <v>21</v>
      </c>
      <c r="B91" s="59"/>
      <c r="C91" s="59"/>
      <c r="D91" s="59"/>
      <c r="E91" s="59"/>
      <c r="F91" s="59"/>
      <c r="G91" s="59"/>
      <c r="H91" s="59"/>
      <c r="I91" s="59"/>
      <c r="J91" s="59"/>
      <c r="K91" s="77"/>
      <c r="L91" s="77"/>
      <c r="M91" s="77"/>
      <c r="N91" s="77"/>
      <c r="O91" s="77"/>
      <c r="P91" s="77"/>
      <c r="Q91" s="77"/>
      <c r="R91" s="59"/>
      <c r="S91" s="33"/>
      <c r="T91" s="81" t="s">
        <v>20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2"/>
    </row>
    <row r="92" spans="1:50" ht="15" x14ac:dyDescent="0.2">
      <c r="A92" s="59" t="s">
        <v>120</v>
      </c>
      <c r="B92" s="168">
        <v>293.3</v>
      </c>
      <c r="C92" s="168">
        <v>310.7</v>
      </c>
      <c r="D92" s="168">
        <v>323.10000000000002</v>
      </c>
      <c r="E92" s="168">
        <v>328.9</v>
      </c>
      <c r="F92" s="168">
        <v>335.2</v>
      </c>
      <c r="G92" s="168">
        <v>356.1</v>
      </c>
      <c r="H92" s="168">
        <v>359.5</v>
      </c>
      <c r="I92" s="168">
        <f>921.3-542.1</f>
        <v>379.19999999999993</v>
      </c>
      <c r="J92" s="168">
        <f>947-555.4</f>
        <v>391.6</v>
      </c>
      <c r="K92" s="168">
        <f>917.6-530.6</f>
        <v>387</v>
      </c>
      <c r="L92" s="168">
        <f>929-514.4</f>
        <v>414.6</v>
      </c>
      <c r="M92" s="168">
        <f>928.7-497.4</f>
        <v>431.30000000000007</v>
      </c>
      <c r="N92" s="168">
        <f>1005.6-560.6</f>
        <v>445</v>
      </c>
      <c r="O92" s="168">
        <f>1318.4-841.4</f>
        <v>477.00000000000011</v>
      </c>
      <c r="P92" s="168">
        <f>1663.9-1124.1</f>
        <v>539.80000000000018</v>
      </c>
      <c r="Q92" s="168">
        <f>1420.1-868.6</f>
        <v>551.49999999999989</v>
      </c>
      <c r="R92" s="168">
        <v>766.2</v>
      </c>
      <c r="S92" s="113">
        <f>RATE(5,,-M92,Q92)</f>
        <v>5.0396368775070519E-2</v>
      </c>
      <c r="T92" s="59" t="str">
        <f>A92</f>
        <v>Revenues</v>
      </c>
      <c r="U92" s="33" t="e">
        <f>#REF!/#REF!</f>
        <v>#REF!</v>
      </c>
      <c r="V92" s="33" t="e">
        <f>#REF!/#REF!</f>
        <v>#REF!</v>
      </c>
      <c r="W92" s="33" t="e">
        <f>#REF!/#REF!</f>
        <v>#REF!</v>
      </c>
      <c r="X92" s="33" t="e">
        <f>#REF!/#REF!</f>
        <v>#REF!</v>
      </c>
      <c r="Y92" s="33" t="e">
        <f>#REF!/#REF!</f>
        <v>#REF!</v>
      </c>
      <c r="Z92" s="33" t="e">
        <f>#REF!/#REF!</f>
        <v>#REF!</v>
      </c>
      <c r="AA92" s="33" t="e">
        <f>#REF!/#REF!</f>
        <v>#REF!</v>
      </c>
      <c r="AB92" s="33" t="e">
        <f>#REF!/#REF!</f>
        <v>#REF!</v>
      </c>
      <c r="AC92" s="33" t="e">
        <f>#REF!/#REF!</f>
        <v>#REF!</v>
      </c>
      <c r="AD92" s="33" t="e">
        <f>#REF!/#REF!</f>
        <v>#REF!</v>
      </c>
      <c r="AE92" s="33">
        <f t="shared" ref="AE92:AQ94" si="185">B92/B$94</f>
        <v>0.31883900423959122</v>
      </c>
      <c r="AF92" s="33">
        <f t="shared" si="185"/>
        <v>0.3441134123380219</v>
      </c>
      <c r="AG92" s="113">
        <f t="shared" si="185"/>
        <v>0.33350536746490506</v>
      </c>
      <c r="AH92" s="113">
        <f t="shared" si="185"/>
        <v>0.38146601716539086</v>
      </c>
      <c r="AI92" s="113">
        <f t="shared" si="185"/>
        <v>0.34002840332724693</v>
      </c>
      <c r="AJ92" s="113">
        <f t="shared" si="185"/>
        <v>0.37059007180768033</v>
      </c>
      <c r="AK92" s="113">
        <f t="shared" si="185"/>
        <v>0.39178291194420228</v>
      </c>
      <c r="AL92" s="113">
        <f t="shared" si="185"/>
        <v>0.41159231520677297</v>
      </c>
      <c r="AM92" s="113">
        <f t="shared" si="185"/>
        <v>0.41351636747624076</v>
      </c>
      <c r="AN92" s="113">
        <f t="shared" si="185"/>
        <v>0.42175239755884913</v>
      </c>
      <c r="AO92" s="113">
        <f t="shared" si="185"/>
        <v>0.44628632938643703</v>
      </c>
      <c r="AP92" s="113">
        <f t="shared" si="185"/>
        <v>0.46441261979110587</v>
      </c>
      <c r="AQ92" s="113">
        <f t="shared" si="185"/>
        <v>0.44252187748607796</v>
      </c>
      <c r="AR92" s="113">
        <f t="shared" ref="AR92:AR94" si="186">O92/O$94</f>
        <v>0.36180218446601947</v>
      </c>
      <c r="AS92" s="113">
        <f t="shared" ref="AS92:AS94" si="187">P92/P$94</f>
        <v>0.32441853476771448</v>
      </c>
      <c r="AT92" s="113">
        <f t="shared" ref="AT92:AT94" si="188">Q92/Q$94</f>
        <v>0.38835293289204981</v>
      </c>
      <c r="AU92" s="113">
        <f t="shared" ref="AU92" si="189">R92/R$94</f>
        <v>1</v>
      </c>
      <c r="AV92" s="113">
        <f>SUM(M92:Q92)/SUM(M$94:Q$94)</f>
        <v>0.38578439881957488</v>
      </c>
      <c r="AW92" s="2"/>
    </row>
    <row r="93" spans="1:50" ht="15" x14ac:dyDescent="0.2">
      <c r="A93" s="59" t="s">
        <v>121</v>
      </c>
      <c r="B93" s="168">
        <v>626.6</v>
      </c>
      <c r="C93" s="168">
        <v>592.20000000000005</v>
      </c>
      <c r="D93" s="168">
        <v>645.70000000000005</v>
      </c>
      <c r="E93" s="168">
        <v>533.29999999999995</v>
      </c>
      <c r="F93" s="168">
        <v>650.6</v>
      </c>
      <c r="G93" s="168">
        <v>604.79999999999995</v>
      </c>
      <c r="H93" s="168">
        <v>558.1</v>
      </c>
      <c r="I93" s="168">
        <v>542.1</v>
      </c>
      <c r="J93" s="168">
        <v>555.4</v>
      </c>
      <c r="K93" s="168">
        <v>530.6</v>
      </c>
      <c r="L93" s="168">
        <v>514.4</v>
      </c>
      <c r="M93" s="168">
        <v>497.4</v>
      </c>
      <c r="N93" s="168">
        <v>560.6</v>
      </c>
      <c r="O93" s="168">
        <v>841.4</v>
      </c>
      <c r="P93" s="168">
        <v>1124.0999999999999</v>
      </c>
      <c r="Q93" s="168">
        <v>868.6</v>
      </c>
      <c r="R93" s="168"/>
      <c r="S93" s="113">
        <f t="shared" ref="S93:S94" si="190">RATE(5,,-M93,Q93)</f>
        <v>0.11795110311921012</v>
      </c>
      <c r="T93" s="59" t="str">
        <f>A93</f>
        <v>Commodity Pass Through</v>
      </c>
      <c r="U93" s="63" t="e">
        <f>#REF!/#REF!</f>
        <v>#REF!</v>
      </c>
      <c r="V93" s="63" t="e">
        <f>#REF!/#REF!</f>
        <v>#REF!</v>
      </c>
      <c r="W93" s="63" t="e">
        <f>#REF!/#REF!</f>
        <v>#REF!</v>
      </c>
      <c r="X93" s="63" t="e">
        <f>#REF!/#REF!</f>
        <v>#REF!</v>
      </c>
      <c r="Y93" s="63" t="e">
        <f>#REF!/#REF!</f>
        <v>#REF!</v>
      </c>
      <c r="Z93" s="63" t="e">
        <f>#REF!/#REF!</f>
        <v>#REF!</v>
      </c>
      <c r="AA93" s="63" t="e">
        <f>#REF!/#REF!</f>
        <v>#REF!</v>
      </c>
      <c r="AB93" s="63" t="e">
        <f>#REF!/#REF!</f>
        <v>#REF!</v>
      </c>
      <c r="AC93" s="63" t="e">
        <f>#REF!/#REF!</f>
        <v>#REF!</v>
      </c>
      <c r="AD93" s="63" t="e">
        <f>#REF!/#REF!</f>
        <v>#REF!</v>
      </c>
      <c r="AE93" s="63">
        <f t="shared" si="185"/>
        <v>0.68116099576040867</v>
      </c>
      <c r="AF93" s="63">
        <f t="shared" si="185"/>
        <v>0.65588658766197805</v>
      </c>
      <c r="AG93" s="235">
        <f t="shared" si="185"/>
        <v>0.666494632535095</v>
      </c>
      <c r="AH93" s="235">
        <f t="shared" si="185"/>
        <v>0.61853398283460914</v>
      </c>
      <c r="AI93" s="235">
        <f t="shared" si="185"/>
        <v>0.65997159667275318</v>
      </c>
      <c r="AJ93" s="235">
        <f t="shared" si="185"/>
        <v>0.62940992819231967</v>
      </c>
      <c r="AK93" s="235">
        <f t="shared" si="185"/>
        <v>0.60821708805579777</v>
      </c>
      <c r="AL93" s="235">
        <f t="shared" si="185"/>
        <v>0.58840768479322703</v>
      </c>
      <c r="AM93" s="235">
        <f t="shared" si="185"/>
        <v>0.58648363252375924</v>
      </c>
      <c r="AN93" s="235">
        <f t="shared" si="185"/>
        <v>0.57824760244115081</v>
      </c>
      <c r="AO93" s="235">
        <f t="shared" si="185"/>
        <v>0.55371367061356291</v>
      </c>
      <c r="AP93" s="235">
        <f t="shared" si="185"/>
        <v>0.53558738020889407</v>
      </c>
      <c r="AQ93" s="235">
        <f t="shared" si="185"/>
        <v>0.55747812251392204</v>
      </c>
      <c r="AR93" s="235">
        <f t="shared" si="186"/>
        <v>0.63819781553398047</v>
      </c>
      <c r="AS93" s="235">
        <f t="shared" si="187"/>
        <v>0.67558146523228546</v>
      </c>
      <c r="AT93" s="235">
        <f t="shared" si="188"/>
        <v>0.61164706710795025</v>
      </c>
      <c r="AU93" s="235">
        <f t="shared" ref="AU93:AU94" si="191">R93/R$94</f>
        <v>0</v>
      </c>
      <c r="AV93" s="113">
        <f t="shared" ref="AV93:AV94" si="192">SUM(M93:Q93)/SUM(M$94:Q$94)</f>
        <v>0.61421560118042506</v>
      </c>
      <c r="AW93" s="2"/>
    </row>
    <row r="94" spans="1:50" ht="15" x14ac:dyDescent="0.2">
      <c r="A94" s="59" t="s">
        <v>53</v>
      </c>
      <c r="B94" s="193">
        <f t="shared" ref="B94:G94" si="193">SUM(B91:B93)</f>
        <v>919.90000000000009</v>
      </c>
      <c r="C94" s="193">
        <f t="shared" si="193"/>
        <v>902.90000000000009</v>
      </c>
      <c r="D94" s="193">
        <f t="shared" si="193"/>
        <v>968.80000000000007</v>
      </c>
      <c r="E94" s="193">
        <f t="shared" si="193"/>
        <v>862.19999999999993</v>
      </c>
      <c r="F94" s="193">
        <f t="shared" si="193"/>
        <v>985.8</v>
      </c>
      <c r="G94" s="193">
        <f t="shared" si="193"/>
        <v>960.9</v>
      </c>
      <c r="H94" s="193">
        <f t="shared" ref="H94:R94" si="194">SUM(H91:H93)</f>
        <v>917.6</v>
      </c>
      <c r="I94" s="193">
        <f t="shared" si="194"/>
        <v>921.3</v>
      </c>
      <c r="J94" s="193">
        <f t="shared" si="194"/>
        <v>947</v>
      </c>
      <c r="K94" s="193">
        <f t="shared" si="194"/>
        <v>917.6</v>
      </c>
      <c r="L94" s="193">
        <f t="shared" si="194"/>
        <v>929</v>
      </c>
      <c r="M94" s="193">
        <f t="shared" si="194"/>
        <v>928.7</v>
      </c>
      <c r="N94" s="193">
        <f t="shared" ref="N94:P94" si="195">SUM(N91:N93)</f>
        <v>1005.6</v>
      </c>
      <c r="O94" s="193">
        <f t="shared" si="195"/>
        <v>1318.4</v>
      </c>
      <c r="P94" s="193">
        <f t="shared" si="195"/>
        <v>1663.9</v>
      </c>
      <c r="Q94" s="193">
        <f t="shared" ref="Q94" si="196">SUM(Q91:Q93)</f>
        <v>1420.1</v>
      </c>
      <c r="R94" s="193">
        <f t="shared" si="194"/>
        <v>766.2</v>
      </c>
      <c r="S94" s="113">
        <f t="shared" si="190"/>
        <v>8.8651051481422175E-2</v>
      </c>
      <c r="T94" s="59" t="str">
        <f>A94</f>
        <v>Total Revenues</v>
      </c>
      <c r="U94" s="33" t="e">
        <f>#REF!/#REF!</f>
        <v>#REF!</v>
      </c>
      <c r="V94" s="33" t="e">
        <f>#REF!/#REF!</f>
        <v>#REF!</v>
      </c>
      <c r="W94" s="33" t="e">
        <f>#REF!/#REF!</f>
        <v>#REF!</v>
      </c>
      <c r="X94" s="33" t="e">
        <f>#REF!/#REF!</f>
        <v>#REF!</v>
      </c>
      <c r="Y94" s="33" t="e">
        <f>#REF!/#REF!</f>
        <v>#REF!</v>
      </c>
      <c r="Z94" s="33" t="e">
        <f>#REF!/#REF!</f>
        <v>#REF!</v>
      </c>
      <c r="AA94" s="33" t="e">
        <f>#REF!/#REF!</f>
        <v>#REF!</v>
      </c>
      <c r="AB94" s="33" t="e">
        <f>#REF!/#REF!</f>
        <v>#REF!</v>
      </c>
      <c r="AC94" s="33" t="e">
        <f>#REF!/#REF!</f>
        <v>#REF!</v>
      </c>
      <c r="AD94" s="33" t="e">
        <f>#REF!/#REF!</f>
        <v>#REF!</v>
      </c>
      <c r="AE94" s="33">
        <f t="shared" si="185"/>
        <v>1</v>
      </c>
      <c r="AF94" s="33">
        <f t="shared" si="185"/>
        <v>1</v>
      </c>
      <c r="AG94" s="113">
        <f t="shared" si="185"/>
        <v>1</v>
      </c>
      <c r="AH94" s="113">
        <f t="shared" si="185"/>
        <v>1</v>
      </c>
      <c r="AI94" s="113">
        <f t="shared" si="185"/>
        <v>1</v>
      </c>
      <c r="AJ94" s="113">
        <f t="shared" si="185"/>
        <v>1</v>
      </c>
      <c r="AK94" s="113">
        <f t="shared" si="185"/>
        <v>1</v>
      </c>
      <c r="AL94" s="113">
        <f t="shared" si="185"/>
        <v>1</v>
      </c>
      <c r="AM94" s="113">
        <f t="shared" si="185"/>
        <v>1</v>
      </c>
      <c r="AN94" s="113">
        <f t="shared" si="185"/>
        <v>1</v>
      </c>
      <c r="AO94" s="113">
        <f t="shared" si="185"/>
        <v>1</v>
      </c>
      <c r="AP94" s="113">
        <f t="shared" si="185"/>
        <v>1</v>
      </c>
      <c r="AQ94" s="113">
        <f t="shared" si="185"/>
        <v>1</v>
      </c>
      <c r="AR94" s="113">
        <f t="shared" si="186"/>
        <v>1</v>
      </c>
      <c r="AS94" s="113">
        <f t="shared" si="187"/>
        <v>1</v>
      </c>
      <c r="AT94" s="113">
        <f t="shared" si="188"/>
        <v>1</v>
      </c>
      <c r="AU94" s="113">
        <f t="shared" si="191"/>
        <v>1</v>
      </c>
      <c r="AV94" s="113">
        <f t="shared" si="192"/>
        <v>1</v>
      </c>
      <c r="AW94" s="100">
        <f>(+E94-D94)/D94</f>
        <v>-0.1100330305532619</v>
      </c>
    </row>
    <row r="95" spans="1:50" ht="15" x14ac:dyDescent="0.2">
      <c r="A95" s="59"/>
      <c r="B95" s="168"/>
      <c r="C95" s="168"/>
      <c r="D95" s="168"/>
      <c r="E95" s="168"/>
      <c r="F95" s="194"/>
      <c r="G95" s="168"/>
      <c r="H95" s="168"/>
      <c r="I95" s="176"/>
      <c r="J95" s="176"/>
      <c r="K95" s="284"/>
      <c r="L95" s="284"/>
      <c r="M95" s="284"/>
      <c r="N95" s="284"/>
      <c r="O95" s="284"/>
      <c r="P95" s="284"/>
      <c r="Q95" s="284"/>
      <c r="R95" s="168"/>
      <c r="S95" s="113"/>
      <c r="T95" s="59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>
        <f>+D97+D98</f>
        <v>645.70000000000005</v>
      </c>
    </row>
    <row r="96" spans="1:50" ht="15.75" x14ac:dyDescent="0.25">
      <c r="A96" s="81" t="s">
        <v>19</v>
      </c>
      <c r="B96" s="194"/>
      <c r="C96" s="168"/>
      <c r="D96" s="168"/>
      <c r="E96" s="168"/>
      <c r="F96" s="194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13"/>
      <c r="T96" s="81" t="s">
        <v>19</v>
      </c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>
        <f>+E97+E98</f>
        <v>533.29999999999995</v>
      </c>
      <c r="AX96">
        <f>+AW96-AW95</f>
        <v>-112.40000000000009</v>
      </c>
    </row>
    <row r="97" spans="1:56" ht="15" x14ac:dyDescent="0.2">
      <c r="A97" s="78" t="s">
        <v>95</v>
      </c>
      <c r="B97" s="168">
        <v>305.60000000000002</v>
      </c>
      <c r="C97" s="168">
        <v>278.5</v>
      </c>
      <c r="D97" s="168">
        <v>318.39999999999998</v>
      </c>
      <c r="E97" s="168">
        <v>185.6</v>
      </c>
      <c r="F97" s="168">
        <v>279.7</v>
      </c>
      <c r="G97" s="168">
        <v>181.4</v>
      </c>
      <c r="H97" s="168">
        <v>164.6</v>
      </c>
      <c r="I97" s="168">
        <v>151.1</v>
      </c>
      <c r="J97" s="168">
        <v>166.3</v>
      </c>
      <c r="K97" s="168">
        <f>124.6+6.6</f>
        <v>131.19999999999999</v>
      </c>
      <c r="L97" s="168">
        <f>179.1-42.7</f>
        <v>136.39999999999998</v>
      </c>
      <c r="M97" s="168">
        <f>128.5+22.2</f>
        <v>150.69999999999999</v>
      </c>
      <c r="N97" s="168">
        <f>284-67.1</f>
        <v>216.9</v>
      </c>
      <c r="O97" s="168">
        <f>594.7-137.4</f>
        <v>457.30000000000007</v>
      </c>
      <c r="P97" s="168">
        <f>752.3+3.4</f>
        <v>755.69999999999993</v>
      </c>
      <c r="Q97" s="168">
        <f>247.6+295.7</f>
        <v>543.29999999999995</v>
      </c>
      <c r="R97" s="168">
        <f>375-164.5</f>
        <v>210.5</v>
      </c>
      <c r="S97" s="113">
        <f t="shared" ref="S97:S99" si="197">RATE(5,,-M97,Q97)</f>
        <v>0.29236530549244744</v>
      </c>
      <c r="T97" s="79" t="str">
        <f>A97</f>
        <v xml:space="preserve">   Cost of Natural Gas Sold</v>
      </c>
      <c r="U97" s="33" t="e">
        <f>#REF!/#REF!</f>
        <v>#REF!</v>
      </c>
      <c r="V97" s="33" t="e">
        <f>#REF!/#REF!</f>
        <v>#REF!</v>
      </c>
      <c r="W97" s="33" t="e">
        <f>#REF!/#REF!</f>
        <v>#REF!</v>
      </c>
      <c r="X97" s="33" t="e">
        <f>#REF!/#REF!</f>
        <v>#REF!</v>
      </c>
      <c r="Y97" s="33" t="e">
        <f>#REF!/#REF!</f>
        <v>#REF!</v>
      </c>
      <c r="Z97" s="33" t="e">
        <f>#REF!/#REF!</f>
        <v>#REF!</v>
      </c>
      <c r="AA97" s="33" t="e">
        <f>#REF!/#REF!</f>
        <v>#REF!</v>
      </c>
      <c r="AB97" s="33" t="e">
        <f>#REF!/#REF!</f>
        <v>#REF!</v>
      </c>
      <c r="AC97" s="33" t="e">
        <f>#REF!/#REF!</f>
        <v>#REF!</v>
      </c>
      <c r="AD97" s="33" t="e">
        <f>#REF!/#REF!</f>
        <v>#REF!</v>
      </c>
      <c r="AE97" s="33">
        <f t="shared" ref="AE97:AQ101" si="198">B97/B$94</f>
        <v>0.33221002282856832</v>
      </c>
      <c r="AF97" s="33">
        <f t="shared" si="198"/>
        <v>0.3084505482334699</v>
      </c>
      <c r="AG97" s="113">
        <f t="shared" si="198"/>
        <v>0.32865400495458297</v>
      </c>
      <c r="AH97" s="113">
        <f t="shared" si="198"/>
        <v>0.21526327998144282</v>
      </c>
      <c r="AI97" s="113">
        <f t="shared" si="198"/>
        <v>0.28372895110570096</v>
      </c>
      <c r="AJ97" s="113">
        <f t="shared" si="198"/>
        <v>0.18878135081694247</v>
      </c>
      <c r="AK97" s="113">
        <f t="shared" si="198"/>
        <v>0.17938099389712292</v>
      </c>
      <c r="AL97" s="113">
        <f t="shared" si="198"/>
        <v>0.16400738087485076</v>
      </c>
      <c r="AM97" s="113">
        <f t="shared" si="198"/>
        <v>0.17560718057022176</v>
      </c>
      <c r="AN97" s="113">
        <f t="shared" si="198"/>
        <v>0.14298169136878813</v>
      </c>
      <c r="AO97" s="113">
        <f t="shared" si="198"/>
        <v>0.14682454251883745</v>
      </c>
      <c r="AP97" s="113">
        <f t="shared" si="198"/>
        <v>0.1622698395606762</v>
      </c>
      <c r="AQ97" s="113">
        <f t="shared" si="198"/>
        <v>0.21569212410501193</v>
      </c>
      <c r="AR97" s="113">
        <f t="shared" ref="AR97:AR101" si="199">O97/O$94</f>
        <v>0.34685983009708743</v>
      </c>
      <c r="AS97" s="113">
        <f t="shared" ref="AS97:AS101" si="200">P97/P$94</f>
        <v>0.45417392872167794</v>
      </c>
      <c r="AT97" s="113">
        <f t="shared" ref="AT97:AT101" si="201">Q97/Q$94</f>
        <v>0.38257869164143371</v>
      </c>
      <c r="AU97" s="113">
        <f t="shared" ref="AU97:AU99" si="202">R97/R$94</f>
        <v>0.27473244583659617</v>
      </c>
      <c r="AV97" s="113">
        <f t="shared" ref="AV97:AV101" si="203">SUM(M97:Q97)/SUM(M$94:Q$94)</f>
        <v>0.33517445989237293</v>
      </c>
      <c r="AW97" s="100">
        <f>(+E97-D97)/D97</f>
        <v>-0.41708542713567837</v>
      </c>
      <c r="AX97" s="3"/>
      <c r="AY97" s="3"/>
      <c r="AZ97" s="3"/>
      <c r="BA97" s="3"/>
      <c r="BB97" s="3"/>
      <c r="BC97" s="3"/>
      <c r="BD97" s="3"/>
    </row>
    <row r="98" spans="1:56" ht="15" x14ac:dyDescent="0.2">
      <c r="A98" s="78" t="s">
        <v>124</v>
      </c>
      <c r="B98" s="195">
        <v>321</v>
      </c>
      <c r="C98" s="195">
        <v>313.7</v>
      </c>
      <c r="D98" s="195">
        <v>327.3</v>
      </c>
      <c r="E98" s="195">
        <v>347.7</v>
      </c>
      <c r="F98" s="195">
        <v>370.9</v>
      </c>
      <c r="G98" s="195">
        <v>423.4</v>
      </c>
      <c r="H98" s="195">
        <v>393.5</v>
      </c>
      <c r="I98" s="195">
        <f>311.7+79.3</f>
        <v>391</v>
      </c>
      <c r="J98" s="195">
        <f>304.2+84.9</f>
        <v>389.1</v>
      </c>
      <c r="K98" s="168">
        <f>530.6-124.6-6.6</f>
        <v>399.4</v>
      </c>
      <c r="L98" s="168">
        <f>514.4-179.1+42.7</f>
        <v>377.99999999999994</v>
      </c>
      <c r="M98" s="168">
        <f>497.4-128.5-22.2</f>
        <v>346.7</v>
      </c>
      <c r="N98" s="168">
        <f>560.6-216.9</f>
        <v>343.70000000000005</v>
      </c>
      <c r="O98" s="168">
        <f>841.4-457.3</f>
        <v>384.09999999999997</v>
      </c>
      <c r="P98" s="168">
        <f>1124.1-755.7</f>
        <v>368.39999999999986</v>
      </c>
      <c r="Q98" s="168">
        <f>868.6-543.3</f>
        <v>325.30000000000007</v>
      </c>
      <c r="R98" s="195">
        <v>164.5</v>
      </c>
      <c r="S98" s="113">
        <f t="shared" si="197"/>
        <v>-1.2661563147055497E-2</v>
      </c>
      <c r="T98" s="79" t="str">
        <f>A98</f>
        <v xml:space="preserve">   Cost of Natural Gas Sold - Affiliates</v>
      </c>
      <c r="U98" s="33" t="e">
        <f>#REF!/#REF!</f>
        <v>#REF!</v>
      </c>
      <c r="V98" s="33" t="e">
        <f>#REF!/#REF!</f>
        <v>#REF!</v>
      </c>
      <c r="W98" s="33" t="e">
        <f>#REF!/#REF!</f>
        <v>#REF!</v>
      </c>
      <c r="X98" s="33" t="e">
        <f>#REF!/#REF!</f>
        <v>#REF!</v>
      </c>
      <c r="Y98" s="33" t="e">
        <f>#REF!/#REF!</f>
        <v>#REF!</v>
      </c>
      <c r="Z98" s="33" t="e">
        <f>#REF!/#REF!</f>
        <v>#REF!</v>
      </c>
      <c r="AA98" s="33" t="e">
        <f>#REF!/#REF!</f>
        <v>#REF!</v>
      </c>
      <c r="AB98" s="33" t="e">
        <f>#REF!/#REF!</f>
        <v>#REF!</v>
      </c>
      <c r="AC98" s="33" t="e">
        <f>#REF!/#REF!</f>
        <v>#REF!</v>
      </c>
      <c r="AD98" s="33" t="e">
        <f>#REF!/#REF!</f>
        <v>#REF!</v>
      </c>
      <c r="AE98" s="33">
        <f t="shared" si="198"/>
        <v>0.34895097293184041</v>
      </c>
      <c r="AF98" s="33">
        <f t="shared" si="198"/>
        <v>0.34743603942850809</v>
      </c>
      <c r="AG98" s="113">
        <f t="shared" si="198"/>
        <v>0.33784062758051198</v>
      </c>
      <c r="AH98" s="113">
        <f t="shared" si="198"/>
        <v>0.40327070285316635</v>
      </c>
      <c r="AI98" s="113">
        <f t="shared" si="198"/>
        <v>0.37624264556705211</v>
      </c>
      <c r="AJ98" s="113">
        <f t="shared" si="198"/>
        <v>0.44062857737537725</v>
      </c>
      <c r="AK98" s="113">
        <f t="shared" si="198"/>
        <v>0.4288360941586748</v>
      </c>
      <c r="AL98" s="113">
        <f t="shared" si="198"/>
        <v>0.42440030391837624</v>
      </c>
      <c r="AM98" s="113">
        <f t="shared" si="198"/>
        <v>0.4108764519535375</v>
      </c>
      <c r="AN98" s="113">
        <f t="shared" si="198"/>
        <v>0.43526591107236268</v>
      </c>
      <c r="AO98" s="113">
        <f t="shared" si="198"/>
        <v>0.40688912809472544</v>
      </c>
      <c r="AP98" s="113">
        <f t="shared" si="198"/>
        <v>0.37331754064821793</v>
      </c>
      <c r="AQ98" s="113">
        <f t="shared" si="198"/>
        <v>0.34178599840891016</v>
      </c>
      <c r="AR98" s="113">
        <f t="shared" si="199"/>
        <v>0.29133798543689315</v>
      </c>
      <c r="AS98" s="113">
        <f t="shared" si="200"/>
        <v>0.22140753651060752</v>
      </c>
      <c r="AT98" s="113">
        <f t="shared" si="201"/>
        <v>0.22906837546651651</v>
      </c>
      <c r="AU98" s="113">
        <f t="shared" si="202"/>
        <v>0.21469590185330201</v>
      </c>
      <c r="AV98" s="113">
        <f t="shared" si="203"/>
        <v>0.27904114128805207</v>
      </c>
      <c r="AW98" s="100">
        <f>(+E98-D98)/D98</f>
        <v>6.2328139321723118E-2</v>
      </c>
      <c r="AX98" s="141">
        <f>+AX96/AW95</f>
        <v>-0.17407464766919634</v>
      </c>
    </row>
    <row r="99" spans="1:56" ht="15" x14ac:dyDescent="0.2">
      <c r="A99" s="78" t="s">
        <v>96</v>
      </c>
      <c r="B99" s="168">
        <v>106.4</v>
      </c>
      <c r="C99" s="168">
        <v>114.4</v>
      </c>
      <c r="D99" s="168">
        <v>118.5</v>
      </c>
      <c r="E99" s="168">
        <v>119</v>
      </c>
      <c r="F99" s="168">
        <v>113.1</v>
      </c>
      <c r="G99" s="168">
        <v>122.5</v>
      </c>
      <c r="H99" s="168">
        <v>111.9</v>
      </c>
      <c r="I99" s="168">
        <v>176.6</v>
      </c>
      <c r="J99" s="168">
        <v>154.80000000000001</v>
      </c>
      <c r="K99" s="168">
        <v>149.1</v>
      </c>
      <c r="L99" s="168">
        <v>165.7</v>
      </c>
      <c r="M99" s="168">
        <v>143.4</v>
      </c>
      <c r="N99" s="168">
        <v>147.30000000000001</v>
      </c>
      <c r="O99" s="168">
        <v>157.19999999999999</v>
      </c>
      <c r="P99" s="168">
        <v>166.1</v>
      </c>
      <c r="Q99" s="168">
        <v>181</v>
      </c>
      <c r="R99" s="168">
        <v>158.69999999999999</v>
      </c>
      <c r="S99" s="113">
        <f t="shared" si="197"/>
        <v>4.7673320914104089E-2</v>
      </c>
      <c r="T99" s="79" t="str">
        <f>A99</f>
        <v xml:space="preserve">   Operating and Maintenance</v>
      </c>
      <c r="U99" s="33" t="e">
        <f>#REF!/#REF!</f>
        <v>#REF!</v>
      </c>
      <c r="V99" s="33" t="e">
        <f>#REF!/#REF!</f>
        <v>#REF!</v>
      </c>
      <c r="W99" s="33" t="e">
        <f>#REF!/#REF!</f>
        <v>#REF!</v>
      </c>
      <c r="X99" s="33" t="e">
        <f>#REF!/#REF!</f>
        <v>#REF!</v>
      </c>
      <c r="Y99" s="33" t="e">
        <f>#REF!/#REF!</f>
        <v>#REF!</v>
      </c>
      <c r="Z99" s="33" t="e">
        <f>#REF!/#REF!</f>
        <v>#REF!</v>
      </c>
      <c r="AA99" s="33" t="e">
        <f>#REF!/#REF!</f>
        <v>#REF!</v>
      </c>
      <c r="AB99" s="33" t="e">
        <f>#REF!/#REF!</f>
        <v>#REF!</v>
      </c>
      <c r="AC99" s="33" t="e">
        <f>#REF!/#REF!</f>
        <v>#REF!</v>
      </c>
      <c r="AD99" s="33" t="e">
        <f>#REF!/#REF!</f>
        <v>#REF!</v>
      </c>
      <c r="AE99" s="33">
        <f t="shared" si="198"/>
        <v>0.11566474616806174</v>
      </c>
      <c r="AF99" s="114">
        <f t="shared" si="198"/>
        <v>0.12670284638387419</v>
      </c>
      <c r="AG99" s="185">
        <f t="shared" si="198"/>
        <v>0.12231626754748141</v>
      </c>
      <c r="AH99" s="185">
        <f t="shared" si="198"/>
        <v>0.13801902110879147</v>
      </c>
      <c r="AI99" s="185">
        <f t="shared" si="198"/>
        <v>0.11472915398660986</v>
      </c>
      <c r="AJ99" s="185">
        <f t="shared" si="198"/>
        <v>0.12748464980747218</v>
      </c>
      <c r="AK99" s="185">
        <f t="shared" si="198"/>
        <v>0.12194856146469051</v>
      </c>
      <c r="AL99" s="185">
        <f t="shared" si="198"/>
        <v>0.19168566156517963</v>
      </c>
      <c r="AM99" s="185">
        <f t="shared" si="198"/>
        <v>0.16346356916578672</v>
      </c>
      <c r="AN99" s="185">
        <f t="shared" si="198"/>
        <v>0.16248910200523103</v>
      </c>
      <c r="AO99" s="185">
        <f t="shared" si="198"/>
        <v>0.17836383207750267</v>
      </c>
      <c r="AP99" s="185">
        <f t="shared" si="198"/>
        <v>0.15440938946915042</v>
      </c>
      <c r="AQ99" s="185">
        <f t="shared" si="198"/>
        <v>0.14647971360381862</v>
      </c>
      <c r="AR99" s="185">
        <f t="shared" si="199"/>
        <v>0.11923543689320387</v>
      </c>
      <c r="AS99" s="185">
        <f t="shared" si="200"/>
        <v>9.9825710679728341E-2</v>
      </c>
      <c r="AT99" s="185">
        <f t="shared" si="201"/>
        <v>0.12745581297091754</v>
      </c>
      <c r="AU99" s="185">
        <f t="shared" si="202"/>
        <v>0.20712607674236488</v>
      </c>
      <c r="AV99" s="113">
        <f t="shared" si="203"/>
        <v>0.12545962409456024</v>
      </c>
      <c r="AW99" s="2"/>
    </row>
    <row r="100" spans="1:56" ht="15" x14ac:dyDescent="0.2">
      <c r="A100" s="110" t="s">
        <v>155</v>
      </c>
      <c r="B100" s="168">
        <v>42.9</v>
      </c>
      <c r="C100" s="168">
        <v>49.9</v>
      </c>
      <c r="D100" s="168">
        <v>51</v>
      </c>
      <c r="E100" s="168">
        <v>51.2</v>
      </c>
      <c r="F100" s="168">
        <v>52.5</v>
      </c>
      <c r="G100" s="168">
        <v>52.8</v>
      </c>
      <c r="H100" s="168">
        <v>50.6</v>
      </c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13"/>
      <c r="T100" s="79" t="str">
        <f>+A100</f>
        <v xml:space="preserve">   General and Administrative</v>
      </c>
      <c r="U100" s="33"/>
      <c r="V100" s="33"/>
      <c r="W100" s="33"/>
      <c r="X100" s="33"/>
      <c r="Y100" s="33"/>
      <c r="Z100" s="33"/>
      <c r="AA100" s="33" t="e">
        <f>#REF!/#REF!</f>
        <v>#REF!</v>
      </c>
      <c r="AB100" s="33" t="e">
        <f>#REF!/#REF!</f>
        <v>#REF!</v>
      </c>
      <c r="AC100" s="33" t="e">
        <f>#REF!/#REF!</f>
        <v>#REF!</v>
      </c>
      <c r="AD100" s="33" t="e">
        <f>#REF!/#REF!</f>
        <v>#REF!</v>
      </c>
      <c r="AE100" s="33">
        <f t="shared" si="198"/>
        <v>4.6635503859115114E-2</v>
      </c>
      <c r="AF100" s="33">
        <f t="shared" si="198"/>
        <v>5.5266363938420639E-2</v>
      </c>
      <c r="AG100" s="113">
        <f t="shared" si="198"/>
        <v>5.2642444260941369E-2</v>
      </c>
      <c r="AH100" s="113">
        <f t="shared" si="198"/>
        <v>5.9382973787984232E-2</v>
      </c>
      <c r="AI100" s="113">
        <f t="shared" si="198"/>
        <v>5.3256238587948874E-2</v>
      </c>
      <c r="AJ100" s="113">
        <f t="shared" si="198"/>
        <v>5.4948485794567591E-2</v>
      </c>
      <c r="AK100" s="113">
        <f t="shared" si="198"/>
        <v>5.5143853530950304E-2</v>
      </c>
      <c r="AL100" s="113">
        <f t="shared" si="198"/>
        <v>0</v>
      </c>
      <c r="AM100" s="113">
        <f t="shared" si="198"/>
        <v>0</v>
      </c>
      <c r="AN100" s="113">
        <f t="shared" si="198"/>
        <v>0</v>
      </c>
      <c r="AO100" s="113">
        <f t="shared" si="198"/>
        <v>0</v>
      </c>
      <c r="AP100" s="113">
        <f t="shared" si="198"/>
        <v>0</v>
      </c>
      <c r="AQ100" s="113">
        <f t="shared" si="198"/>
        <v>0</v>
      </c>
      <c r="AR100" s="113">
        <f t="shared" si="199"/>
        <v>0</v>
      </c>
      <c r="AS100" s="113">
        <f t="shared" si="200"/>
        <v>0</v>
      </c>
      <c r="AT100" s="113">
        <f t="shared" si="201"/>
        <v>0</v>
      </c>
      <c r="AU100" s="113">
        <f t="shared" ref="AU100:AU101" si="204">R100/R$94</f>
        <v>0</v>
      </c>
      <c r="AV100" s="113">
        <f t="shared" si="203"/>
        <v>0</v>
      </c>
      <c r="AW100" s="2"/>
    </row>
    <row r="101" spans="1:56" ht="15" x14ac:dyDescent="0.2">
      <c r="A101" s="79" t="s">
        <v>47</v>
      </c>
      <c r="B101" s="168">
        <v>43.8</v>
      </c>
      <c r="C101" s="168">
        <v>43.7</v>
      </c>
      <c r="D101" s="168">
        <v>44.5</v>
      </c>
      <c r="E101" s="168">
        <v>47.2</v>
      </c>
      <c r="F101" s="168">
        <v>49.7</v>
      </c>
      <c r="G101" s="168">
        <v>53.6</v>
      </c>
      <c r="H101" s="168">
        <v>55.1</v>
      </c>
      <c r="I101" s="168">
        <v>61</v>
      </c>
      <c r="J101" s="168">
        <v>70.3</v>
      </c>
      <c r="K101" s="168">
        <v>75.599999999999994</v>
      </c>
      <c r="L101" s="168">
        <v>78.3</v>
      </c>
      <c r="M101" s="168">
        <v>82.4</v>
      </c>
      <c r="N101" s="168">
        <v>86.4</v>
      </c>
      <c r="O101" s="168">
        <v>93.6</v>
      </c>
      <c r="P101" s="168">
        <v>106.4</v>
      </c>
      <c r="Q101" s="168">
        <v>120.1</v>
      </c>
      <c r="R101" s="168">
        <v>89.7</v>
      </c>
      <c r="S101" s="113">
        <f>RATE(5,,-M101,Q101)</f>
        <v>7.825916720401116E-2</v>
      </c>
      <c r="T101" s="79" t="str">
        <f>A101</f>
        <v xml:space="preserve">   Depreciation and amortization</v>
      </c>
      <c r="U101" s="33" t="e">
        <f>#REF!/#REF!</f>
        <v>#REF!</v>
      </c>
      <c r="V101" s="33" t="e">
        <f>#REF!/#REF!</f>
        <v>#REF!</v>
      </c>
      <c r="W101" s="33" t="e">
        <f>#REF!/#REF!</f>
        <v>#REF!</v>
      </c>
      <c r="X101" s="33" t="e">
        <f>#REF!/#REF!</f>
        <v>#REF!</v>
      </c>
      <c r="Y101" s="33" t="e">
        <f>#REF!/#REF!</f>
        <v>#REF!</v>
      </c>
      <c r="Z101" s="33" t="e">
        <f>#REF!/#REF!</f>
        <v>#REF!</v>
      </c>
      <c r="AA101" s="33" t="e">
        <f>#REF!/#REF!</f>
        <v>#REF!</v>
      </c>
      <c r="AB101" s="33" t="e">
        <f>#REF!/#REF!</f>
        <v>#REF!</v>
      </c>
      <c r="AC101" s="33" t="e">
        <f>#REF!/#REF!</f>
        <v>#REF!</v>
      </c>
      <c r="AD101" s="33" t="e">
        <f>#REF!/#REF!</f>
        <v>#REF!</v>
      </c>
      <c r="AE101" s="33">
        <f t="shared" si="198"/>
        <v>4.7613871072942703E-2</v>
      </c>
      <c r="AF101" s="33">
        <f t="shared" si="198"/>
        <v>4.8399601284749141E-2</v>
      </c>
      <c r="AG101" s="113">
        <f t="shared" si="198"/>
        <v>4.5933113129644917E-2</v>
      </c>
      <c r="AH101" s="113">
        <f t="shared" si="198"/>
        <v>5.4743678960797966E-2</v>
      </c>
      <c r="AI101" s="113">
        <f t="shared" si="198"/>
        <v>5.0415905863258274E-2</v>
      </c>
      <c r="AJ101" s="113">
        <f t="shared" si="198"/>
        <v>5.5781038609636804E-2</v>
      </c>
      <c r="AK101" s="113">
        <f t="shared" si="198"/>
        <v>6.0047951176983437E-2</v>
      </c>
      <c r="AL101" s="113">
        <f t="shared" si="198"/>
        <v>6.6210789102355366E-2</v>
      </c>
      <c r="AM101" s="113">
        <f t="shared" si="198"/>
        <v>7.4234424498416052E-2</v>
      </c>
      <c r="AN101" s="113">
        <f t="shared" si="198"/>
        <v>8.2388840453356579E-2</v>
      </c>
      <c r="AO101" s="113">
        <f t="shared" si="198"/>
        <v>8.4284176533907421E-2</v>
      </c>
      <c r="AP101" s="113">
        <f t="shared" si="198"/>
        <v>8.8726176375578766E-2</v>
      </c>
      <c r="AQ101" s="113">
        <f t="shared" si="198"/>
        <v>8.591885441527447E-2</v>
      </c>
      <c r="AR101" s="113">
        <f t="shared" si="199"/>
        <v>7.0995145631067957E-2</v>
      </c>
      <c r="AS101" s="113">
        <f t="shared" si="200"/>
        <v>6.3946150610012617E-2</v>
      </c>
      <c r="AT101" s="113">
        <f t="shared" si="201"/>
        <v>8.4571509048658552E-2</v>
      </c>
      <c r="AU101" s="113">
        <f t="shared" si="204"/>
        <v>0.11707126076742365</v>
      </c>
      <c r="AV101" s="113">
        <f t="shared" si="203"/>
        <v>7.7153723546956599E-2</v>
      </c>
      <c r="AW101" s="2"/>
    </row>
    <row r="102" spans="1:56" ht="15" x14ac:dyDescent="0.2">
      <c r="A102" s="78" t="s">
        <v>118</v>
      </c>
      <c r="B102" s="168"/>
      <c r="C102" s="168"/>
      <c r="D102" s="168"/>
      <c r="E102" s="168">
        <v>2.4</v>
      </c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13"/>
      <c r="T102" s="79" t="str">
        <f>A102</f>
        <v xml:space="preserve">   Miscellaneous</v>
      </c>
      <c r="U102" s="33" t="e">
        <f>#REF!/#REF!</f>
        <v>#REF!</v>
      </c>
      <c r="V102" s="33" t="e">
        <f>#REF!/#REF!</f>
        <v>#REF!</v>
      </c>
      <c r="W102" s="33" t="e">
        <f>#REF!/#REF!</f>
        <v>#REF!</v>
      </c>
      <c r="X102" s="33" t="e">
        <f>#REF!/#REF!</f>
        <v>#REF!</v>
      </c>
      <c r="Y102" s="33" t="e">
        <f>#REF!/#REF!</f>
        <v>#REF!</v>
      </c>
      <c r="Z102" s="33" t="e">
        <f>#REF!/#REF!</f>
        <v>#REF!</v>
      </c>
      <c r="AA102" s="33"/>
      <c r="AB102" s="33"/>
      <c r="AC102" s="33"/>
      <c r="AD102" s="33"/>
      <c r="AE102" s="33"/>
      <c r="AF102" s="3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2"/>
    </row>
    <row r="103" spans="1:56" ht="15" x14ac:dyDescent="0.2">
      <c r="A103" s="79" t="s">
        <v>48</v>
      </c>
      <c r="B103" s="168">
        <v>13.3</v>
      </c>
      <c r="C103" s="168">
        <v>14.1</v>
      </c>
      <c r="D103" s="168">
        <v>15</v>
      </c>
      <c r="E103" s="168">
        <v>16.2</v>
      </c>
      <c r="F103" s="168">
        <v>18</v>
      </c>
      <c r="G103" s="168">
        <v>17.8</v>
      </c>
      <c r="H103" s="168">
        <v>19.3</v>
      </c>
      <c r="I103" s="168">
        <v>20.9</v>
      </c>
      <c r="J103" s="168">
        <v>22.2</v>
      </c>
      <c r="K103" s="168">
        <v>24.3</v>
      </c>
      <c r="L103" s="168">
        <v>25.8</v>
      </c>
      <c r="M103" s="168">
        <v>27.3</v>
      </c>
      <c r="N103" s="168">
        <v>27.7</v>
      </c>
      <c r="O103" s="168">
        <v>26.6</v>
      </c>
      <c r="P103" s="168">
        <v>29.3</v>
      </c>
      <c r="Q103" s="168">
        <v>32.799999999999997</v>
      </c>
      <c r="R103" s="168">
        <v>26.2</v>
      </c>
      <c r="S103" s="113">
        <f t="shared" ref="S103:S105" si="205">RATE(5,,-M103,Q103)</f>
        <v>3.7390434910031155E-2</v>
      </c>
      <c r="T103" s="79" t="str">
        <f>A103</f>
        <v xml:space="preserve">   Taxes, other than income taxes</v>
      </c>
      <c r="U103" s="63" t="e">
        <f>#REF!/#REF!</f>
        <v>#REF!</v>
      </c>
      <c r="V103" s="63" t="e">
        <f>#REF!/#REF!</f>
        <v>#REF!</v>
      </c>
      <c r="W103" s="63" t="e">
        <f>#REF!/#REF!</f>
        <v>#REF!</v>
      </c>
      <c r="X103" s="63" t="e">
        <f>#REF!/#REF!</f>
        <v>#REF!</v>
      </c>
      <c r="Y103" s="63" t="e">
        <f>#REF!/#REF!</f>
        <v>#REF!</v>
      </c>
      <c r="Z103" s="63" t="e">
        <f>#REF!/#REF!</f>
        <v>#REF!</v>
      </c>
      <c r="AA103" s="63" t="e">
        <f>#REF!/#REF!</f>
        <v>#REF!</v>
      </c>
      <c r="AB103" s="63" t="e">
        <f>#REF!/#REF!</f>
        <v>#REF!</v>
      </c>
      <c r="AC103" s="33" t="e">
        <f>#REF!/#REF!</f>
        <v>#REF!</v>
      </c>
      <c r="AD103" s="33" t="e">
        <f>#REF!/#REF!</f>
        <v>#REF!</v>
      </c>
      <c r="AE103" s="33">
        <f t="shared" ref="AE103:AQ105" si="206">B103/B$94</f>
        <v>1.4458093271007718E-2</v>
      </c>
      <c r="AF103" s="33">
        <f t="shared" si="206"/>
        <v>1.561634732528519E-2</v>
      </c>
      <c r="AG103" s="113">
        <f t="shared" si="206"/>
        <v>1.5483071841453344E-2</v>
      </c>
      <c r="AH103" s="113">
        <f t="shared" si="206"/>
        <v>1.8789144050104383E-2</v>
      </c>
      <c r="AI103" s="113">
        <f t="shared" si="206"/>
        <v>1.8259281801582473E-2</v>
      </c>
      <c r="AJ103" s="113">
        <f t="shared" si="206"/>
        <v>1.8524300135289832E-2</v>
      </c>
      <c r="AK103" s="113">
        <f t="shared" si="206"/>
        <v>2.1033129904097645E-2</v>
      </c>
      <c r="AL103" s="113">
        <f t="shared" si="206"/>
        <v>2.2685335938347987E-2</v>
      </c>
      <c r="AM103" s="113">
        <f t="shared" si="206"/>
        <v>2.3442449841605068E-2</v>
      </c>
      <c r="AN103" s="113">
        <f t="shared" si="206"/>
        <v>2.6482127288578901E-2</v>
      </c>
      <c r="AO103" s="113">
        <f t="shared" si="206"/>
        <v>2.777179763186222E-2</v>
      </c>
      <c r="AP103" s="113">
        <f t="shared" si="206"/>
        <v>2.9395929794336167E-2</v>
      </c>
      <c r="AQ103" s="113">
        <f t="shared" si="206"/>
        <v>2.754574383452665E-2</v>
      </c>
      <c r="AR103" s="113">
        <f t="shared" ref="AR103:AR105" si="207">O103/O$94</f>
        <v>2.0175970873786406E-2</v>
      </c>
      <c r="AS103" s="113">
        <f t="shared" ref="AS103:AS105" si="208">P103/P$94</f>
        <v>1.7609231323997835E-2</v>
      </c>
      <c r="AT103" s="113">
        <f t="shared" ref="AT103:AT105" si="209">Q103/Q$94</f>
        <v>2.3096965002464616E-2</v>
      </c>
      <c r="AU103" s="113">
        <f t="shared" ref="AU103:AU105" si="210">R103/R$94</f>
        <v>3.4194727225267549E-2</v>
      </c>
      <c r="AV103" s="113">
        <f t="shared" ref="AV103:AV105" si="211">SUM(M103:Q103)/SUM(M$94:Q$94)</f>
        <v>2.2677418845771454E-2</v>
      </c>
      <c r="AW103" s="2"/>
    </row>
    <row r="104" spans="1:56" ht="15" x14ac:dyDescent="0.2">
      <c r="A104" s="59" t="s">
        <v>42</v>
      </c>
      <c r="B104" s="193">
        <f>SUM(B96:B103)</f>
        <v>832.99999999999989</v>
      </c>
      <c r="C104" s="193">
        <f>SUM(C96:C103)</f>
        <v>814.30000000000007</v>
      </c>
      <c r="D104" s="193">
        <f>SUM(D96:D103)</f>
        <v>874.7</v>
      </c>
      <c r="E104" s="193">
        <f>SUM(E96:E103)</f>
        <v>769.30000000000007</v>
      </c>
      <c r="F104" s="193">
        <f>SUM(F97:F103)</f>
        <v>883.9</v>
      </c>
      <c r="G104" s="193">
        <f t="shared" ref="G104:R104" si="212">SUM(G96:G103)</f>
        <v>851.49999999999989</v>
      </c>
      <c r="H104" s="193">
        <f t="shared" si="212"/>
        <v>795</v>
      </c>
      <c r="I104" s="193">
        <f t="shared" si="212"/>
        <v>800.6</v>
      </c>
      <c r="J104" s="193">
        <f t="shared" si="212"/>
        <v>802.7</v>
      </c>
      <c r="K104" s="193">
        <f t="shared" si="212"/>
        <v>779.59999999999991</v>
      </c>
      <c r="L104" s="193">
        <f t="shared" ref="L104:M104" si="213">SUM(L96:L103)</f>
        <v>784.19999999999982</v>
      </c>
      <c r="M104" s="193">
        <f t="shared" si="213"/>
        <v>750.49999999999989</v>
      </c>
      <c r="N104" s="193">
        <f t="shared" ref="N104:P104" si="214">SUM(N96:N103)</f>
        <v>822.00000000000011</v>
      </c>
      <c r="O104" s="193">
        <f t="shared" si="214"/>
        <v>1118.8</v>
      </c>
      <c r="P104" s="193">
        <f t="shared" si="214"/>
        <v>1425.8999999999999</v>
      </c>
      <c r="Q104" s="193">
        <f t="shared" ref="Q104" si="215">SUM(Q96:Q103)</f>
        <v>1202.4999999999998</v>
      </c>
      <c r="R104" s="193">
        <f t="shared" si="212"/>
        <v>649.60000000000014</v>
      </c>
      <c r="S104" s="113">
        <f t="shared" si="205"/>
        <v>9.8871418763635005E-2</v>
      </c>
      <c r="T104" s="59" t="s">
        <v>42</v>
      </c>
      <c r="U104" s="63" t="e">
        <f>#REF!/#REF!</f>
        <v>#REF!</v>
      </c>
      <c r="V104" s="63" t="e">
        <f>#REF!/#REF!</f>
        <v>#REF!</v>
      </c>
      <c r="W104" s="63" t="e">
        <f>#REF!/#REF!</f>
        <v>#REF!</v>
      </c>
      <c r="X104" s="63" t="e">
        <f>#REF!/#REF!</f>
        <v>#REF!</v>
      </c>
      <c r="Y104" s="63" t="e">
        <f>#REF!/#REF!</f>
        <v>#REF!</v>
      </c>
      <c r="Z104" s="63" t="e">
        <f>#REF!/#REF!</f>
        <v>#REF!</v>
      </c>
      <c r="AA104" s="63" t="e">
        <f>#REF!/#REF!</f>
        <v>#REF!</v>
      </c>
      <c r="AB104" s="63" t="e">
        <f>#REF!/#REF!</f>
        <v>#REF!</v>
      </c>
      <c r="AC104" s="64" t="e">
        <f>#REF!/#REF!</f>
        <v>#REF!</v>
      </c>
      <c r="AD104" s="64" t="e">
        <f>#REF!/#REF!</f>
        <v>#REF!</v>
      </c>
      <c r="AE104" s="64">
        <f t="shared" si="206"/>
        <v>0.90553321013153587</v>
      </c>
      <c r="AF104" s="64">
        <f t="shared" si="206"/>
        <v>0.90187174659430724</v>
      </c>
      <c r="AG104" s="236">
        <f t="shared" si="206"/>
        <v>0.90286952931461595</v>
      </c>
      <c r="AH104" s="236">
        <f t="shared" si="206"/>
        <v>0.8922523776385991</v>
      </c>
      <c r="AI104" s="236">
        <f t="shared" si="206"/>
        <v>0.89663217691215258</v>
      </c>
      <c r="AJ104" s="236">
        <f t="shared" si="206"/>
        <v>0.88614840253928595</v>
      </c>
      <c r="AK104" s="236">
        <f t="shared" si="206"/>
        <v>0.86639058413251957</v>
      </c>
      <c r="AL104" s="236">
        <f t="shared" si="206"/>
        <v>0.86898947139910998</v>
      </c>
      <c r="AM104" s="236">
        <f t="shared" si="206"/>
        <v>0.84762407602956713</v>
      </c>
      <c r="AN104" s="236">
        <f t="shared" si="206"/>
        <v>0.84960767218831723</v>
      </c>
      <c r="AO104" s="236">
        <f t="shared" si="206"/>
        <v>0.84413347685683515</v>
      </c>
      <c r="AP104" s="236">
        <f t="shared" si="206"/>
        <v>0.80811887584795938</v>
      </c>
      <c r="AQ104" s="236">
        <f t="shared" si="206"/>
        <v>0.81742243436754181</v>
      </c>
      <c r="AR104" s="236">
        <f t="shared" si="207"/>
        <v>0.84860436893203872</v>
      </c>
      <c r="AS104" s="236">
        <f t="shared" si="208"/>
        <v>0.85696255784602426</v>
      </c>
      <c r="AT104" s="236">
        <f t="shared" si="209"/>
        <v>0.84677135412999072</v>
      </c>
      <c r="AU104" s="236">
        <f t="shared" si="210"/>
        <v>0.84782041242495443</v>
      </c>
      <c r="AV104" s="113">
        <f t="shared" si="211"/>
        <v>0.83950636766771336</v>
      </c>
      <c r="AW104" s="2"/>
    </row>
    <row r="105" spans="1:56" ht="15" x14ac:dyDescent="0.2">
      <c r="A105" s="59" t="s">
        <v>11</v>
      </c>
      <c r="B105" s="193">
        <f t="shared" ref="B105:R105" si="216">B94-B104</f>
        <v>86.900000000000205</v>
      </c>
      <c r="C105" s="193">
        <f t="shared" si="216"/>
        <v>88.600000000000023</v>
      </c>
      <c r="D105" s="193">
        <f t="shared" si="216"/>
        <v>94.100000000000023</v>
      </c>
      <c r="E105" s="193">
        <f t="shared" si="216"/>
        <v>92.899999999999864</v>
      </c>
      <c r="F105" s="193">
        <f t="shared" si="216"/>
        <v>101.89999999999998</v>
      </c>
      <c r="G105" s="193">
        <f t="shared" si="216"/>
        <v>109.40000000000009</v>
      </c>
      <c r="H105" s="193">
        <f t="shared" si="216"/>
        <v>122.60000000000002</v>
      </c>
      <c r="I105" s="193">
        <f t="shared" si="216"/>
        <v>120.69999999999993</v>
      </c>
      <c r="J105" s="193">
        <f t="shared" si="216"/>
        <v>144.29999999999995</v>
      </c>
      <c r="K105" s="193">
        <f t="shared" si="216"/>
        <v>138.00000000000011</v>
      </c>
      <c r="L105" s="193">
        <f t="shared" ref="L105:M105" si="217">L94-L104</f>
        <v>144.80000000000018</v>
      </c>
      <c r="M105" s="193">
        <f t="shared" si="217"/>
        <v>178.20000000000016</v>
      </c>
      <c r="N105" s="193">
        <f t="shared" ref="N105:P105" si="218">N94-N104</f>
        <v>183.59999999999991</v>
      </c>
      <c r="O105" s="193">
        <f t="shared" si="218"/>
        <v>199.60000000000014</v>
      </c>
      <c r="P105" s="193">
        <f t="shared" si="218"/>
        <v>238.00000000000023</v>
      </c>
      <c r="Q105" s="193">
        <f t="shared" ref="Q105" si="219">Q94-Q104</f>
        <v>217.60000000000014</v>
      </c>
      <c r="R105" s="193">
        <f t="shared" si="216"/>
        <v>116.59999999999991</v>
      </c>
      <c r="S105" s="113">
        <f t="shared" si="205"/>
        <v>4.0759151246966628E-2</v>
      </c>
      <c r="T105" s="59" t="s">
        <v>11</v>
      </c>
      <c r="U105" s="33" t="e">
        <f>#REF!/#REF!</f>
        <v>#REF!</v>
      </c>
      <c r="V105" s="33" t="e">
        <f>#REF!/#REF!</f>
        <v>#REF!</v>
      </c>
      <c r="W105" s="33" t="e">
        <f>#REF!/#REF!</f>
        <v>#REF!</v>
      </c>
      <c r="X105" s="33" t="e">
        <f>#REF!/#REF!</f>
        <v>#REF!</v>
      </c>
      <c r="Y105" s="33" t="e">
        <f>#REF!/#REF!</f>
        <v>#REF!</v>
      </c>
      <c r="Z105" s="33" t="e">
        <f>#REF!/#REF!</f>
        <v>#REF!</v>
      </c>
      <c r="AA105" s="33" t="e">
        <f>#REF!/#REF!</f>
        <v>#REF!</v>
      </c>
      <c r="AB105" s="33" t="e">
        <f>#REF!/#REF!</f>
        <v>#REF!</v>
      </c>
      <c r="AC105" s="64" t="e">
        <f>#REF!/#REF!</f>
        <v>#REF!</v>
      </c>
      <c r="AD105" s="64" t="e">
        <f>#REF!/#REF!</f>
        <v>#REF!</v>
      </c>
      <c r="AE105" s="64">
        <f t="shared" si="206"/>
        <v>9.4466789868464171E-2</v>
      </c>
      <c r="AF105" s="64">
        <f t="shared" si="206"/>
        <v>9.8128253405692784E-2</v>
      </c>
      <c r="AG105" s="236">
        <f t="shared" si="206"/>
        <v>9.7130470685383996E-2</v>
      </c>
      <c r="AH105" s="236">
        <f t="shared" si="206"/>
        <v>0.10774762236140091</v>
      </c>
      <c r="AI105" s="236">
        <f t="shared" si="206"/>
        <v>0.10336782308784742</v>
      </c>
      <c r="AJ105" s="236">
        <f t="shared" si="206"/>
        <v>0.11385159746071401</v>
      </c>
      <c r="AK105" s="236">
        <f t="shared" si="206"/>
        <v>0.1336094158674804</v>
      </c>
      <c r="AL105" s="236">
        <f t="shared" si="206"/>
        <v>0.13101052860088999</v>
      </c>
      <c r="AM105" s="236">
        <f t="shared" si="206"/>
        <v>0.1523759239704329</v>
      </c>
      <c r="AN105" s="236">
        <f t="shared" si="206"/>
        <v>0.15039232781168277</v>
      </c>
      <c r="AO105" s="236">
        <f t="shared" si="206"/>
        <v>0.15586652314316488</v>
      </c>
      <c r="AP105" s="236">
        <f t="shared" si="206"/>
        <v>0.19188112415204064</v>
      </c>
      <c r="AQ105" s="236">
        <f t="shared" si="206"/>
        <v>0.18257756563245814</v>
      </c>
      <c r="AR105" s="236">
        <f t="shared" si="207"/>
        <v>0.15139563106796125</v>
      </c>
      <c r="AS105" s="236">
        <f t="shared" si="208"/>
        <v>0.14303744215397574</v>
      </c>
      <c r="AT105" s="236">
        <f t="shared" si="209"/>
        <v>0.15322864587000926</v>
      </c>
      <c r="AU105" s="236">
        <f t="shared" si="210"/>
        <v>0.15217958757504554</v>
      </c>
      <c r="AV105" s="113">
        <f t="shared" si="211"/>
        <v>0.16049363233228658</v>
      </c>
      <c r="AW105" s="2">
        <f>+E105-D105</f>
        <v>-1.2000000000001592</v>
      </c>
      <c r="AX105" s="141">
        <f>+AW105/D105</f>
        <v>-1.2752391073327938E-2</v>
      </c>
    </row>
    <row r="106" spans="1:56" ht="15" customHeight="1" x14ac:dyDescent="0.2">
      <c r="A106" s="59"/>
      <c r="B106" s="168"/>
      <c r="C106" s="168"/>
      <c r="D106" s="168"/>
      <c r="E106" s="168"/>
      <c r="F106" s="168"/>
      <c r="G106" s="196"/>
      <c r="H106" s="196"/>
      <c r="I106" s="196"/>
      <c r="J106" s="196"/>
      <c r="K106" s="288"/>
      <c r="L106" s="288"/>
      <c r="M106" s="288"/>
      <c r="N106" s="288"/>
      <c r="O106" s="288"/>
      <c r="P106" s="288"/>
      <c r="Q106" s="288"/>
      <c r="R106" s="168"/>
      <c r="S106" s="113"/>
      <c r="T106" s="59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2"/>
    </row>
    <row r="107" spans="1:56" ht="15" x14ac:dyDescent="0.2">
      <c r="A107" s="79" t="s">
        <v>49</v>
      </c>
      <c r="B107" s="168">
        <v>28.5</v>
      </c>
      <c r="C107" s="168">
        <v>26.2</v>
      </c>
      <c r="D107" s="168">
        <v>25.9</v>
      </c>
      <c r="E107" s="168">
        <v>24.1</v>
      </c>
      <c r="F107" s="168">
        <v>22.3</v>
      </c>
      <c r="G107" s="168">
        <v>28.2</v>
      </c>
      <c r="H107" s="168">
        <v>28.3</v>
      </c>
      <c r="I107" s="168">
        <v>30.2</v>
      </c>
      <c r="J107" s="168">
        <v>34.5</v>
      </c>
      <c r="K107" s="168">
        <v>36.200000000000003</v>
      </c>
      <c r="L107" s="168">
        <v>31.2</v>
      </c>
      <c r="M107" s="168">
        <v>31.9</v>
      </c>
      <c r="N107" s="168">
        <v>34.299999999999997</v>
      </c>
      <c r="O107" s="168">
        <v>44.4</v>
      </c>
      <c r="P107" s="168">
        <v>68.400000000000006</v>
      </c>
      <c r="Q107" s="168">
        <v>55</v>
      </c>
      <c r="R107" s="168">
        <v>44.8</v>
      </c>
      <c r="S107" s="113">
        <f t="shared" ref="S107:S108" si="220">RATE(5,,-M107,Q107)</f>
        <v>0.11510150326663036</v>
      </c>
      <c r="T107" s="79" t="str">
        <f>A107</f>
        <v xml:space="preserve">   Interest expense (net)</v>
      </c>
      <c r="U107" s="33" t="e">
        <f>#REF!/#REF!</f>
        <v>#REF!</v>
      </c>
      <c r="V107" s="33" t="e">
        <f>#REF!/#REF!</f>
        <v>#REF!</v>
      </c>
      <c r="W107" s="33" t="e">
        <f>#REF!/#REF!</f>
        <v>#REF!</v>
      </c>
      <c r="X107" s="33" t="e">
        <f>#REF!/#REF!</f>
        <v>#REF!</v>
      </c>
      <c r="Y107" s="33" t="e">
        <f>#REF!/#REF!</f>
        <v>#REF!</v>
      </c>
      <c r="Z107" s="33" t="e">
        <f>#REF!/#REF!</f>
        <v>#REF!</v>
      </c>
      <c r="AA107" s="33" t="e">
        <f>#REF!/#REF!</f>
        <v>#REF!</v>
      </c>
      <c r="AB107" s="33" t="e">
        <f>#REF!/#REF!</f>
        <v>#REF!</v>
      </c>
      <c r="AC107" s="33" t="e">
        <f>#REF!/#REF!</f>
        <v>#REF!</v>
      </c>
      <c r="AD107" s="33" t="e">
        <f>#REF!/#REF!</f>
        <v>#REF!</v>
      </c>
      <c r="AE107" s="33">
        <f t="shared" ref="AE107:AQ108" si="221">B107/B$94</f>
        <v>3.0981628437873679E-2</v>
      </c>
      <c r="AF107" s="33">
        <f t="shared" si="221"/>
        <v>2.9017609923579574E-2</v>
      </c>
      <c r="AG107" s="113">
        <f t="shared" si="221"/>
        <v>2.6734104046242772E-2</v>
      </c>
      <c r="AH107" s="113">
        <f t="shared" si="221"/>
        <v>2.7951751333797268E-2</v>
      </c>
      <c r="AI107" s="113">
        <f t="shared" si="221"/>
        <v>2.262122134307162E-2</v>
      </c>
      <c r="AJ107" s="113">
        <f t="shared" si="221"/>
        <v>2.9347486731189511E-2</v>
      </c>
      <c r="AK107" s="113">
        <f t="shared" si="221"/>
        <v>3.0841325196163907E-2</v>
      </c>
      <c r="AL107" s="113">
        <f t="shared" si="221"/>
        <v>3.2779767719526759E-2</v>
      </c>
      <c r="AM107" s="113">
        <f t="shared" si="221"/>
        <v>3.6430834213305174E-2</v>
      </c>
      <c r="AN107" s="113">
        <f t="shared" si="221"/>
        <v>3.9450741063644289E-2</v>
      </c>
      <c r="AO107" s="113">
        <f t="shared" si="221"/>
        <v>3.3584499461786869E-2</v>
      </c>
      <c r="AP107" s="113">
        <f t="shared" si="221"/>
        <v>3.4349090125982557E-2</v>
      </c>
      <c r="AQ107" s="113">
        <f t="shared" si="221"/>
        <v>3.4108989657915666E-2</v>
      </c>
      <c r="AR107" s="113">
        <f t="shared" ref="AR107:AR108" si="222">O107/O$94</f>
        <v>3.3677184466019416E-2</v>
      </c>
      <c r="AS107" s="113">
        <f t="shared" ref="AS107:AS108" si="223">P107/P$94</f>
        <v>4.1108239677865255E-2</v>
      </c>
      <c r="AT107" s="113">
        <f t="shared" ref="AT107:AT108" si="224">Q107/Q$94</f>
        <v>3.8729666924864452E-2</v>
      </c>
      <c r="AU107" s="113">
        <f t="shared" ref="AU107:AU108" si="225">R107/R$94</f>
        <v>5.84703732706865E-2</v>
      </c>
      <c r="AV107" s="113">
        <f>SUM(M107:Q107)/SUM(M$94:Q$94)</f>
        <v>3.6927738412738491E-2</v>
      </c>
      <c r="AW107" s="2"/>
    </row>
    <row r="108" spans="1:56" ht="15" x14ac:dyDescent="0.2">
      <c r="A108" s="78" t="s">
        <v>110</v>
      </c>
      <c r="B108" s="168">
        <v>7.6</v>
      </c>
      <c r="C108" s="168">
        <v>-6.7</v>
      </c>
      <c r="D108" s="168">
        <v>-5.4</v>
      </c>
      <c r="E108" s="168">
        <v>-5.5</v>
      </c>
      <c r="F108" s="168">
        <v>-5.0999999999999996</v>
      </c>
      <c r="G108" s="168">
        <v>-5.9</v>
      </c>
      <c r="H108" s="168">
        <v>-4.8</v>
      </c>
      <c r="I108" s="168">
        <v>-3.8</v>
      </c>
      <c r="J108" s="168">
        <v>-4.2</v>
      </c>
      <c r="K108" s="168">
        <v>-3.2</v>
      </c>
      <c r="L108" s="168">
        <v>-3.2</v>
      </c>
      <c r="M108" s="168">
        <v>-6.9</v>
      </c>
      <c r="N108" s="168">
        <v>-7.3</v>
      </c>
      <c r="O108" s="168">
        <v>-8.6</v>
      </c>
      <c r="P108" s="168">
        <v>-14.4</v>
      </c>
      <c r="Q108" s="168">
        <v>-4.5</v>
      </c>
      <c r="R108" s="168">
        <v>-5.5</v>
      </c>
      <c r="S108" s="113">
        <f t="shared" si="220"/>
        <v>-8.193657741547257E-2</v>
      </c>
      <c r="T108" s="79" t="str">
        <f>A108</f>
        <v xml:space="preserve">   Interest and Other Income</v>
      </c>
      <c r="U108" s="33" t="e">
        <f>#REF!/#REF!</f>
        <v>#REF!</v>
      </c>
      <c r="V108" s="33" t="e">
        <f>#REF!/#REF!</f>
        <v>#REF!</v>
      </c>
      <c r="W108" s="33" t="e">
        <f>#REF!/#REF!</f>
        <v>#REF!</v>
      </c>
      <c r="X108" s="33" t="e">
        <f>#REF!/#REF!</f>
        <v>#REF!</v>
      </c>
      <c r="Y108" s="33" t="e">
        <f>#REF!/#REF!</f>
        <v>#REF!</v>
      </c>
      <c r="Z108" s="33" t="e">
        <f>#REF!/#REF!</f>
        <v>#REF!</v>
      </c>
      <c r="AA108" s="33" t="e">
        <f>#REF!/#REF!</f>
        <v>#REF!</v>
      </c>
      <c r="AB108" s="33" t="e">
        <f>#REF!/#REF!</f>
        <v>#REF!</v>
      </c>
      <c r="AC108" s="33" t="e">
        <f>#REF!/#REF!</f>
        <v>#REF!</v>
      </c>
      <c r="AD108" s="33" t="e">
        <f>#REF!/#REF!</f>
        <v>#REF!</v>
      </c>
      <c r="AE108" s="33">
        <f t="shared" si="221"/>
        <v>8.2617675834329805E-3</v>
      </c>
      <c r="AF108" s="33">
        <f t="shared" si="221"/>
        <v>-7.4205338354192043E-3</v>
      </c>
      <c r="AG108" s="113">
        <f t="shared" si="221"/>
        <v>-5.5739058629232039E-3</v>
      </c>
      <c r="AH108" s="113">
        <f t="shared" si="221"/>
        <v>-6.3790303873811184E-3</v>
      </c>
      <c r="AI108" s="113">
        <f t="shared" si="221"/>
        <v>-5.1734631771150332E-3</v>
      </c>
      <c r="AJ108" s="113">
        <f t="shared" si="221"/>
        <v>-6.1400770111353946E-3</v>
      </c>
      <c r="AK108" s="113">
        <f t="shared" si="221"/>
        <v>-5.2310374891020046E-3</v>
      </c>
      <c r="AL108" s="113">
        <f t="shared" si="221"/>
        <v>-4.1246065342450886E-3</v>
      </c>
      <c r="AM108" s="113">
        <f t="shared" si="221"/>
        <v>-4.4350580781414998E-3</v>
      </c>
      <c r="AN108" s="113">
        <f t="shared" si="221"/>
        <v>-3.4873583260680036E-3</v>
      </c>
      <c r="AO108" s="113">
        <f t="shared" si="221"/>
        <v>-3.4445640473627559E-3</v>
      </c>
      <c r="AP108" s="113">
        <f t="shared" si="221"/>
        <v>-7.4297404974695809E-3</v>
      </c>
      <c r="AQ108" s="113">
        <f t="shared" si="221"/>
        <v>-7.2593476531424023E-3</v>
      </c>
      <c r="AR108" s="113">
        <f t="shared" si="222"/>
        <v>-6.5230582524271842E-3</v>
      </c>
      <c r="AS108" s="113">
        <f t="shared" si="223"/>
        <v>-8.654366247971633E-3</v>
      </c>
      <c r="AT108" s="113">
        <f t="shared" si="224"/>
        <v>-3.1687909302161822E-3</v>
      </c>
      <c r="AU108" s="113">
        <f t="shared" si="225"/>
        <v>-7.1782824327851734E-3</v>
      </c>
      <c r="AV108" s="113">
        <f>SUM(M108:Q108)/SUM(M$94:Q$94)</f>
        <v>-6.580712358167499E-3</v>
      </c>
      <c r="AW108" s="2"/>
    </row>
    <row r="109" spans="1:56" ht="15" x14ac:dyDescent="0.2">
      <c r="A109" s="79" t="s">
        <v>54</v>
      </c>
      <c r="B109" s="168"/>
      <c r="C109" s="168"/>
      <c r="D109" s="168"/>
      <c r="E109" s="168"/>
      <c r="F109" s="168"/>
      <c r="G109" s="168">
        <v>-0.1</v>
      </c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13"/>
      <c r="T109" s="79" t="str">
        <f>A109</f>
        <v xml:space="preserve">   Loss (Gain) on Sale of Assets</v>
      </c>
      <c r="U109" s="33" t="e">
        <f>#REF!/#REF!</f>
        <v>#REF!</v>
      </c>
      <c r="V109" s="33" t="e">
        <f>#REF!/#REF!</f>
        <v>#REF!</v>
      </c>
      <c r="W109" s="33" t="e">
        <f>#REF!/#REF!</f>
        <v>#REF!</v>
      </c>
      <c r="X109" s="33" t="e">
        <f>#REF!/#REF!</f>
        <v>#REF!</v>
      </c>
      <c r="Y109" s="33" t="e">
        <f>#REF!/#REF!</f>
        <v>#REF!</v>
      </c>
      <c r="Z109" s="33" t="e">
        <f>#REF!/#REF!</f>
        <v>#REF!</v>
      </c>
      <c r="AA109" s="33"/>
      <c r="AB109" s="33" t="e">
        <f>#REF!/#REF!</f>
        <v>#REF!</v>
      </c>
      <c r="AC109" s="33"/>
      <c r="AD109" s="33"/>
      <c r="AE109" s="33"/>
      <c r="AF109" s="3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2"/>
    </row>
    <row r="110" spans="1:56" ht="15" x14ac:dyDescent="0.2">
      <c r="A110" s="59" t="s">
        <v>50</v>
      </c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3"/>
      <c r="T110" s="79" t="str">
        <f>A110</f>
        <v xml:space="preserve">   Other Income (Expense)</v>
      </c>
      <c r="U110" s="63" t="e">
        <f>#REF!/#REF!</f>
        <v>#REF!</v>
      </c>
      <c r="V110" s="63" t="e">
        <f>#REF!/#REF!</f>
        <v>#REF!</v>
      </c>
      <c r="W110" s="63" t="e">
        <f>#REF!/#REF!</f>
        <v>#REF!</v>
      </c>
      <c r="X110" s="63" t="e">
        <f>#REF!/#REF!</f>
        <v>#REF!</v>
      </c>
      <c r="Y110" s="63" t="e">
        <f>#REF!/#REF!</f>
        <v>#REF!</v>
      </c>
      <c r="Z110" s="63"/>
      <c r="AA110" s="63"/>
      <c r="AB110" s="63"/>
      <c r="AC110" s="63"/>
      <c r="AD110" s="63"/>
      <c r="AE110" s="63"/>
      <c r="AF110" s="63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163"/>
      <c r="AW110" s="2"/>
    </row>
    <row r="111" spans="1:56" ht="15" x14ac:dyDescent="0.2">
      <c r="A111" s="59" t="s">
        <v>51</v>
      </c>
      <c r="B111" s="193">
        <f t="shared" ref="B111:C111" si="226">SUM(B107:B110)</f>
        <v>36.1</v>
      </c>
      <c r="C111" s="193">
        <f t="shared" si="226"/>
        <v>19.5</v>
      </c>
      <c r="D111" s="193">
        <f t="shared" ref="D111:R111" si="227">SUM(D107:D110)</f>
        <v>20.5</v>
      </c>
      <c r="E111" s="193">
        <f t="shared" si="227"/>
        <v>18.600000000000001</v>
      </c>
      <c r="F111" s="193">
        <f t="shared" si="227"/>
        <v>17.200000000000003</v>
      </c>
      <c r="G111" s="193">
        <f t="shared" si="227"/>
        <v>22.199999999999996</v>
      </c>
      <c r="H111" s="193">
        <f t="shared" si="227"/>
        <v>23.5</v>
      </c>
      <c r="I111" s="193">
        <f t="shared" si="227"/>
        <v>26.4</v>
      </c>
      <c r="J111" s="193">
        <f t="shared" si="227"/>
        <v>30.3</v>
      </c>
      <c r="K111" s="193">
        <f t="shared" si="227"/>
        <v>33</v>
      </c>
      <c r="L111" s="193">
        <f t="shared" ref="L111:M111" si="228">SUM(L107:L110)</f>
        <v>28</v>
      </c>
      <c r="M111" s="193">
        <f t="shared" si="228"/>
        <v>25</v>
      </c>
      <c r="N111" s="193">
        <f t="shared" ref="N111:P111" si="229">SUM(N107:N110)</f>
        <v>26.999999999999996</v>
      </c>
      <c r="O111" s="193">
        <f t="shared" si="229"/>
        <v>35.799999999999997</v>
      </c>
      <c r="P111" s="193">
        <f t="shared" si="229"/>
        <v>54.000000000000007</v>
      </c>
      <c r="Q111" s="193">
        <f t="shared" ref="Q111" si="230">SUM(Q107:Q110)</f>
        <v>50.5</v>
      </c>
      <c r="R111" s="193">
        <f t="shared" si="227"/>
        <v>39.299999999999997</v>
      </c>
      <c r="S111" s="113">
        <f>RATE(5,,-M111,Q111)</f>
        <v>0.15098661687463269</v>
      </c>
      <c r="T111" s="79" t="str">
        <f>A111</f>
        <v>Total Other Income/Expense</v>
      </c>
      <c r="U111" s="33" t="e">
        <f>#REF!/#REF!</f>
        <v>#REF!</v>
      </c>
      <c r="V111" s="33" t="e">
        <f>#REF!/#REF!</f>
        <v>#REF!</v>
      </c>
      <c r="W111" s="33" t="e">
        <f>#REF!/#REF!</f>
        <v>#REF!</v>
      </c>
      <c r="X111" s="33" t="e">
        <f>#REF!/#REF!</f>
        <v>#REF!</v>
      </c>
      <c r="Y111" s="33" t="e">
        <f>#REF!/#REF!</f>
        <v>#REF!</v>
      </c>
      <c r="Z111" s="33" t="e">
        <f>#REF!/#REF!</f>
        <v>#REF!</v>
      </c>
      <c r="AA111" s="33" t="e">
        <f>#REF!/#REF!</f>
        <v>#REF!</v>
      </c>
      <c r="AB111" s="33" t="e">
        <f>#REF!/#REF!</f>
        <v>#REF!</v>
      </c>
      <c r="AC111" s="33" t="e">
        <f>#REF!/#REF!</f>
        <v>#REF!</v>
      </c>
      <c r="AD111" s="33" t="e">
        <f>#REF!/#REF!</f>
        <v>#REF!</v>
      </c>
      <c r="AE111" s="33">
        <f t="shared" ref="AE111:AQ111" si="231">B111/B$94</f>
        <v>3.9243396021306665E-2</v>
      </c>
      <c r="AF111" s="33">
        <f t="shared" si="231"/>
        <v>2.1597076088160371E-2</v>
      </c>
      <c r="AG111" s="113">
        <f t="shared" si="231"/>
        <v>2.1160198183319569E-2</v>
      </c>
      <c r="AH111" s="113">
        <f t="shared" si="231"/>
        <v>2.1572720946416147E-2</v>
      </c>
      <c r="AI111" s="113">
        <f t="shared" si="231"/>
        <v>1.7447758165956586E-2</v>
      </c>
      <c r="AJ111" s="113">
        <f t="shared" si="231"/>
        <v>2.3103340618170463E-2</v>
      </c>
      <c r="AK111" s="113">
        <f t="shared" si="231"/>
        <v>2.5610287707061901E-2</v>
      </c>
      <c r="AL111" s="113">
        <f t="shared" si="231"/>
        <v>2.8655161185281667E-2</v>
      </c>
      <c r="AM111" s="113">
        <f t="shared" si="231"/>
        <v>3.1995776135163675E-2</v>
      </c>
      <c r="AN111" s="113">
        <f t="shared" si="231"/>
        <v>3.5963382737576287E-2</v>
      </c>
      <c r="AO111" s="113">
        <f t="shared" si="231"/>
        <v>3.0139935414424113E-2</v>
      </c>
      <c r="AP111" s="113">
        <f t="shared" si="231"/>
        <v>2.6919349628512973E-2</v>
      </c>
      <c r="AQ111" s="113">
        <f t="shared" si="231"/>
        <v>2.6849642004773265E-2</v>
      </c>
      <c r="AR111" s="113">
        <f t="shared" ref="AR111" si="232">O111/O$94</f>
        <v>2.7154126213592228E-2</v>
      </c>
      <c r="AS111" s="113">
        <f t="shared" ref="AS111" si="233">P111/P$94</f>
        <v>3.2453873429893629E-2</v>
      </c>
      <c r="AT111" s="113">
        <f t="shared" ref="AT111" si="234">Q111/Q$94</f>
        <v>3.5560875994648265E-2</v>
      </c>
      <c r="AU111" s="113">
        <f t="shared" ref="AU111" si="235">R111/R$94</f>
        <v>5.1292090837901323E-2</v>
      </c>
      <c r="AV111" s="113">
        <f>SUM(M111:Q111)/SUM(M$94:Q$94)</f>
        <v>3.0347026054570989E-2</v>
      </c>
      <c r="AW111" s="2"/>
    </row>
    <row r="112" spans="1:56" ht="12" customHeight="1" x14ac:dyDescent="0.2">
      <c r="A112" s="59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13"/>
      <c r="T112" s="79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2"/>
    </row>
    <row r="113" spans="1:50" ht="15" x14ac:dyDescent="0.2">
      <c r="A113" s="59" t="s">
        <v>10</v>
      </c>
      <c r="B113" s="168">
        <f t="shared" ref="B113:C113" si="236">B105-B111</f>
        <v>50.800000000000203</v>
      </c>
      <c r="C113" s="168">
        <f t="shared" si="236"/>
        <v>69.100000000000023</v>
      </c>
      <c r="D113" s="168">
        <f t="shared" ref="D113:R113" si="237">D105-D111</f>
        <v>73.600000000000023</v>
      </c>
      <c r="E113" s="168">
        <f t="shared" si="237"/>
        <v>74.299999999999869</v>
      </c>
      <c r="F113" s="168">
        <f t="shared" si="237"/>
        <v>84.699999999999974</v>
      </c>
      <c r="G113" s="168">
        <f t="shared" si="237"/>
        <v>87.200000000000102</v>
      </c>
      <c r="H113" s="168">
        <f t="shared" si="237"/>
        <v>99.100000000000023</v>
      </c>
      <c r="I113" s="168">
        <f t="shared" si="237"/>
        <v>94.299999999999926</v>
      </c>
      <c r="J113" s="168">
        <f t="shared" si="237"/>
        <v>113.99999999999996</v>
      </c>
      <c r="K113" s="168">
        <f t="shared" si="237"/>
        <v>105.00000000000011</v>
      </c>
      <c r="L113" s="168">
        <f t="shared" ref="L113:M113" si="238">L105-L111</f>
        <v>116.80000000000018</v>
      </c>
      <c r="M113" s="168">
        <f t="shared" si="238"/>
        <v>153.20000000000016</v>
      </c>
      <c r="N113" s="168">
        <f t="shared" ref="N113:P113" si="239">N105-N111</f>
        <v>156.59999999999991</v>
      </c>
      <c r="O113" s="168">
        <f t="shared" si="239"/>
        <v>163.80000000000013</v>
      </c>
      <c r="P113" s="168">
        <f t="shared" si="239"/>
        <v>184.00000000000023</v>
      </c>
      <c r="Q113" s="168">
        <f t="shared" ref="Q113" si="240">Q105-Q111</f>
        <v>167.10000000000014</v>
      </c>
      <c r="R113" s="168">
        <f t="shared" si="237"/>
        <v>77.299999999999912</v>
      </c>
      <c r="S113" s="113">
        <f>RATE(5,,-M113,Q113)</f>
        <v>1.7521365001837728E-2</v>
      </c>
      <c r="T113" s="79" t="str">
        <f>A113</f>
        <v>Earnings Before Taxes</v>
      </c>
      <c r="U113" s="33" t="e">
        <f>#REF!/#REF!</f>
        <v>#REF!</v>
      </c>
      <c r="V113" s="33" t="e">
        <f>#REF!/#REF!</f>
        <v>#REF!</v>
      </c>
      <c r="W113" s="33" t="e">
        <f>#REF!/#REF!</f>
        <v>#REF!</v>
      </c>
      <c r="X113" s="33" t="e">
        <f>#REF!/#REF!</f>
        <v>#REF!</v>
      </c>
      <c r="Y113" s="33" t="e">
        <f>#REF!/#REF!</f>
        <v>#REF!</v>
      </c>
      <c r="Z113" s="33" t="e">
        <f>#REF!/#REF!</f>
        <v>#REF!</v>
      </c>
      <c r="AA113" s="33" t="e">
        <f>#REF!/#REF!</f>
        <v>#REF!</v>
      </c>
      <c r="AB113" s="33" t="e">
        <f>#REF!/#REF!</f>
        <v>#REF!</v>
      </c>
      <c r="AC113" s="33" t="e">
        <f>#REF!/#REF!</f>
        <v>#REF!</v>
      </c>
      <c r="AD113" s="33" t="e">
        <f>#REF!/#REF!</f>
        <v>#REF!</v>
      </c>
      <c r="AE113" s="33">
        <f t="shared" ref="AE113:AQ113" si="241">B113/B$94</f>
        <v>5.5223393847157513E-2</v>
      </c>
      <c r="AF113" s="33">
        <f t="shared" si="241"/>
        <v>7.6531177317532409E-2</v>
      </c>
      <c r="AG113" s="113">
        <f t="shared" si="241"/>
        <v>7.5970272502064423E-2</v>
      </c>
      <c r="AH113" s="113">
        <f t="shared" si="241"/>
        <v>8.6174901414984781E-2</v>
      </c>
      <c r="AI113" s="113">
        <f t="shared" si="241"/>
        <v>8.5920064921890832E-2</v>
      </c>
      <c r="AJ113" s="113">
        <f t="shared" si="241"/>
        <v>9.0748256842543562E-2</v>
      </c>
      <c r="AK113" s="113">
        <f t="shared" si="241"/>
        <v>0.10799912816041851</v>
      </c>
      <c r="AL113" s="113">
        <f t="shared" si="241"/>
        <v>0.1023553674156083</v>
      </c>
      <c r="AM113" s="113">
        <f t="shared" si="241"/>
        <v>0.12038014783526922</v>
      </c>
      <c r="AN113" s="113">
        <f t="shared" si="241"/>
        <v>0.11442894507410649</v>
      </c>
      <c r="AO113" s="113">
        <f t="shared" si="241"/>
        <v>0.12572658772874079</v>
      </c>
      <c r="AP113" s="113">
        <f t="shared" si="241"/>
        <v>0.16496177452352767</v>
      </c>
      <c r="AQ113" s="113">
        <f t="shared" si="241"/>
        <v>0.15572792362768487</v>
      </c>
      <c r="AR113" s="113">
        <f t="shared" ref="AR113" si="242">O113/O$94</f>
        <v>0.12424150485436902</v>
      </c>
      <c r="AS113" s="113">
        <f t="shared" ref="AS113" si="243">P113/P$94</f>
        <v>0.11058356872408211</v>
      </c>
      <c r="AT113" s="113">
        <f t="shared" ref="AT113" si="244">Q113/Q$94</f>
        <v>0.117667769875361</v>
      </c>
      <c r="AU113" s="113">
        <f t="shared" ref="AU113" si="245">R113/R$94</f>
        <v>0.10088749673714423</v>
      </c>
      <c r="AV113" s="113">
        <f>SUM(M113:Q113)/SUM(M$94:Q$94)</f>
        <v>0.1301466062777156</v>
      </c>
      <c r="AW113" s="2"/>
    </row>
    <row r="114" spans="1:50" ht="15" x14ac:dyDescent="0.2">
      <c r="A114" s="59" t="s">
        <v>52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13"/>
      <c r="T114" s="79" t="str">
        <f>A114</f>
        <v>Extraordinary Items</v>
      </c>
      <c r="U114" s="33" t="e">
        <f>#REF!/#REF!</f>
        <v>#REF!</v>
      </c>
      <c r="V114" s="33" t="e">
        <f>#REF!/#REF!</f>
        <v>#REF!</v>
      </c>
      <c r="W114" s="33" t="e">
        <f>#REF!/#REF!</f>
        <v>#REF!</v>
      </c>
      <c r="X114" s="33" t="e">
        <f>#REF!/#REF!</f>
        <v>#REF!</v>
      </c>
      <c r="Y114" s="33" t="e">
        <f>#REF!/#REF!</f>
        <v>#REF!</v>
      </c>
      <c r="Z114" s="33"/>
      <c r="AA114" s="33"/>
      <c r="AB114" s="33"/>
      <c r="AC114" s="33"/>
      <c r="AD114" s="33"/>
      <c r="AE114" s="33"/>
      <c r="AF114" s="3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2"/>
    </row>
    <row r="115" spans="1:50" ht="15" x14ac:dyDescent="0.2">
      <c r="A115" s="59" t="s">
        <v>13</v>
      </c>
      <c r="B115" s="168">
        <v>24.4</v>
      </c>
      <c r="C115" s="168">
        <v>25.2</v>
      </c>
      <c r="D115" s="168">
        <v>27.5</v>
      </c>
      <c r="E115" s="168">
        <v>27.2</v>
      </c>
      <c r="F115" s="168">
        <v>31.9</v>
      </c>
      <c r="G115" s="168">
        <v>32</v>
      </c>
      <c r="H115" s="168">
        <v>34.799999999999997</v>
      </c>
      <c r="I115" s="168">
        <v>37.1</v>
      </c>
      <c r="J115" s="168">
        <v>46.5</v>
      </c>
      <c r="K115" s="168">
        <v>21.5</v>
      </c>
      <c r="L115" s="168">
        <v>23</v>
      </c>
      <c r="M115" s="168">
        <v>35.799999999999997</v>
      </c>
      <c r="N115" s="168">
        <v>33.9</v>
      </c>
      <c r="O115" s="168">
        <v>34.9</v>
      </c>
      <c r="P115" s="168">
        <v>39.6</v>
      </c>
      <c r="Q115" s="168">
        <v>36.1</v>
      </c>
      <c r="R115" s="168">
        <v>15.1</v>
      </c>
      <c r="S115" s="113">
        <f t="shared" ref="S115:S116" si="246">RATE(5,,-M115,Q115)</f>
        <v>1.6703879327330264E-3</v>
      </c>
      <c r="T115" s="79" t="str">
        <f>A115</f>
        <v>Income Taxes</v>
      </c>
      <c r="U115" s="63" t="e">
        <f>#REF!/#REF!</f>
        <v>#REF!</v>
      </c>
      <c r="V115" s="63" t="e">
        <f>#REF!/#REF!</f>
        <v>#REF!</v>
      </c>
      <c r="W115" s="63" t="e">
        <f>#REF!/#REF!</f>
        <v>#REF!</v>
      </c>
      <c r="X115" s="63" t="e">
        <f>#REF!/#REF!</f>
        <v>#REF!</v>
      </c>
      <c r="Y115" s="63" t="e">
        <f>#REF!/#REF!</f>
        <v>#REF!</v>
      </c>
      <c r="Z115" s="63" t="e">
        <f>#REF!/#REF!</f>
        <v>#REF!</v>
      </c>
      <c r="AA115" s="63" t="e">
        <f>#REF!/#REF!</f>
        <v>#REF!</v>
      </c>
      <c r="AB115" s="63" t="e">
        <f>#REF!/#REF!</f>
        <v>#REF!</v>
      </c>
      <c r="AC115" s="63" t="e">
        <f>#REF!/#REF!</f>
        <v>#REF!</v>
      </c>
      <c r="AD115" s="63" t="e">
        <f>#REF!/#REF!</f>
        <v>#REF!</v>
      </c>
      <c r="AE115" s="63">
        <f t="shared" ref="AE115:AQ116" si="247">B115/B$94</f>
        <v>2.6524622241547991E-2</v>
      </c>
      <c r="AF115" s="63">
        <f t="shared" si="247"/>
        <v>2.791006756008417E-2</v>
      </c>
      <c r="AG115" s="235">
        <f t="shared" si="247"/>
        <v>2.838563170933113E-2</v>
      </c>
      <c r="AH115" s="235">
        <f t="shared" si="247"/>
        <v>3.1547204824866622E-2</v>
      </c>
      <c r="AI115" s="235">
        <f t="shared" si="247"/>
        <v>3.2359504970582272E-2</v>
      </c>
      <c r="AJ115" s="235">
        <f t="shared" si="247"/>
        <v>3.330211260276824E-2</v>
      </c>
      <c r="AK115" s="235">
        <f t="shared" si="247"/>
        <v>3.7925021795989534E-2</v>
      </c>
      <c r="AL115" s="235">
        <f t="shared" si="247"/>
        <v>4.0269184847498106E-2</v>
      </c>
      <c r="AM115" s="235">
        <f t="shared" si="247"/>
        <v>4.9102428722280884E-2</v>
      </c>
      <c r="AN115" s="235">
        <f t="shared" si="247"/>
        <v>2.3430688753269396E-2</v>
      </c>
      <c r="AO115" s="235">
        <f t="shared" si="247"/>
        <v>2.4757804090419805E-2</v>
      </c>
      <c r="AP115" s="235">
        <f t="shared" si="247"/>
        <v>3.8548508668030577E-2</v>
      </c>
      <c r="AQ115" s="235">
        <f t="shared" si="247"/>
        <v>3.3711217183770882E-2</v>
      </c>
      <c r="AR115" s="235">
        <f t="shared" ref="AR115:AR116" si="248">O115/O$94</f>
        <v>2.647148058252427E-2</v>
      </c>
      <c r="AS115" s="235">
        <f t="shared" ref="AS115:AS116" si="249">P115/P$94</f>
        <v>2.3799507181921989E-2</v>
      </c>
      <c r="AT115" s="235">
        <f t="shared" ref="AT115:AT116" si="250">Q115/Q$94</f>
        <v>2.5420745017956485E-2</v>
      </c>
      <c r="AU115" s="235">
        <f t="shared" ref="AU115:AU116" si="251">R115/R$94</f>
        <v>1.9707648133646567E-2</v>
      </c>
      <c r="AV115" s="113">
        <f t="shared" ref="AV115:AV116" si="252">SUM(M115:Q115)/SUM(M$94:Q$94)</f>
        <v>2.8453295879558756E-2</v>
      </c>
      <c r="AW115" s="2"/>
    </row>
    <row r="116" spans="1:50" ht="16.5" thickBot="1" x14ac:dyDescent="0.3">
      <c r="A116" s="139" t="s">
        <v>15</v>
      </c>
      <c r="B116" s="193">
        <f>B113-B114-B115</f>
        <v>26.400000000000205</v>
      </c>
      <c r="C116" s="193">
        <f>C113-C114-C115</f>
        <v>43.90000000000002</v>
      </c>
      <c r="D116" s="222">
        <f>D113-D114-D115</f>
        <v>46.100000000000023</v>
      </c>
      <c r="E116" s="222">
        <f>E113-E114-E115</f>
        <v>47.099999999999866</v>
      </c>
      <c r="F116" s="222">
        <f t="shared" ref="F116:R116" si="253">F113-F114-F115</f>
        <v>52.799999999999976</v>
      </c>
      <c r="G116" s="222">
        <f t="shared" si="253"/>
        <v>55.200000000000102</v>
      </c>
      <c r="H116" s="222">
        <f t="shared" ref="H116:M116" si="254">H113-H114-H115</f>
        <v>64.300000000000026</v>
      </c>
      <c r="I116" s="222">
        <f t="shared" si="254"/>
        <v>57.199999999999925</v>
      </c>
      <c r="J116" s="222">
        <f t="shared" si="254"/>
        <v>67.499999999999957</v>
      </c>
      <c r="K116" s="222">
        <f t="shared" si="254"/>
        <v>83.500000000000114</v>
      </c>
      <c r="L116" s="222">
        <f t="shared" si="254"/>
        <v>93.800000000000182</v>
      </c>
      <c r="M116" s="222">
        <f t="shared" si="254"/>
        <v>117.40000000000016</v>
      </c>
      <c r="N116" s="222">
        <f t="shared" ref="N116:P116" si="255">N113-N114-N115</f>
        <v>122.6999999999999</v>
      </c>
      <c r="O116" s="222">
        <f t="shared" si="255"/>
        <v>128.90000000000012</v>
      </c>
      <c r="P116" s="222">
        <f t="shared" si="255"/>
        <v>144.40000000000023</v>
      </c>
      <c r="Q116" s="222">
        <f t="shared" ref="Q116" si="256">Q113-Q114-Q115</f>
        <v>131.00000000000014</v>
      </c>
      <c r="R116" s="222">
        <f t="shared" si="253"/>
        <v>62.19999999999991</v>
      </c>
      <c r="S116" s="113">
        <f t="shared" si="246"/>
        <v>2.2164137574362142E-2</v>
      </c>
      <c r="T116" s="109" t="str">
        <f>A116</f>
        <v>Net Income</v>
      </c>
      <c r="U116" s="67" t="e">
        <f>#REF!/#REF!</f>
        <v>#REF!</v>
      </c>
      <c r="V116" s="67" t="e">
        <f>#REF!/#REF!</f>
        <v>#REF!</v>
      </c>
      <c r="W116" s="67" t="e">
        <f>#REF!/#REF!</f>
        <v>#REF!</v>
      </c>
      <c r="X116" s="67" t="e">
        <f>#REF!/#REF!</f>
        <v>#REF!</v>
      </c>
      <c r="Y116" s="67" t="e">
        <f>#REF!/#REF!</f>
        <v>#REF!</v>
      </c>
      <c r="Z116" s="67" t="e">
        <f>#REF!/#REF!</f>
        <v>#REF!</v>
      </c>
      <c r="AA116" s="67" t="e">
        <f>#REF!/#REF!</f>
        <v>#REF!</v>
      </c>
      <c r="AB116" s="67" t="e">
        <f>#REF!/#REF!</f>
        <v>#REF!</v>
      </c>
      <c r="AC116" s="67" t="e">
        <f>#REF!/#REF!</f>
        <v>#REF!</v>
      </c>
      <c r="AD116" s="67" t="e">
        <f>#REF!/#REF!</f>
        <v>#REF!</v>
      </c>
      <c r="AE116" s="67">
        <f t="shared" si="247"/>
        <v>2.8698771605609526E-2</v>
      </c>
      <c r="AF116" s="67">
        <f t="shared" si="247"/>
        <v>4.8621109757448239E-2</v>
      </c>
      <c r="AG116" s="237">
        <f t="shared" si="247"/>
        <v>4.75846407927333E-2</v>
      </c>
      <c r="AH116" s="237">
        <f t="shared" si="247"/>
        <v>5.4627696590118152E-2</v>
      </c>
      <c r="AI116" s="237">
        <f t="shared" si="247"/>
        <v>5.356055995130856E-2</v>
      </c>
      <c r="AJ116" s="237">
        <f t="shared" si="247"/>
        <v>5.7446144239775315E-2</v>
      </c>
      <c r="AK116" s="237">
        <f t="shared" si="247"/>
        <v>7.007410636442897E-2</v>
      </c>
      <c r="AL116" s="237">
        <f t="shared" si="247"/>
        <v>6.2086182568110201E-2</v>
      </c>
      <c r="AM116" s="237">
        <f t="shared" si="247"/>
        <v>7.1277719112988344E-2</v>
      </c>
      <c r="AN116" s="237">
        <f t="shared" si="247"/>
        <v>9.0998256320837093E-2</v>
      </c>
      <c r="AO116" s="237">
        <f t="shared" si="247"/>
        <v>0.10096878363832097</v>
      </c>
      <c r="AP116" s="237">
        <f t="shared" si="247"/>
        <v>0.12641326585549709</v>
      </c>
      <c r="AQ116" s="237">
        <f t="shared" si="247"/>
        <v>0.12201670644391398</v>
      </c>
      <c r="AR116" s="237">
        <f t="shared" si="248"/>
        <v>9.7770024271844738E-2</v>
      </c>
      <c r="AS116" s="237">
        <f t="shared" si="249"/>
        <v>8.6784061542160118E-2</v>
      </c>
      <c r="AT116" s="237">
        <f t="shared" si="250"/>
        <v>9.2247024857404519E-2</v>
      </c>
      <c r="AU116" s="237">
        <f t="shared" si="251"/>
        <v>8.1179848603497654E-2</v>
      </c>
      <c r="AV116" s="113">
        <f t="shared" si="252"/>
        <v>0.10169331039815685</v>
      </c>
      <c r="AW116" s="2">
        <f>+E116-D116</f>
        <v>0.99999999999984368</v>
      </c>
      <c r="AX116" s="141">
        <f>+AW116/D116</f>
        <v>2.1691973969627836E-2</v>
      </c>
    </row>
    <row r="117" spans="1:50" ht="16.5" thickTop="1" x14ac:dyDescent="0.25">
      <c r="A117" s="81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301"/>
      <c r="S117" s="113"/>
      <c r="T117" s="109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2"/>
      <c r="AX117" s="141"/>
    </row>
    <row r="118" spans="1:50" ht="15.75" x14ac:dyDescent="0.25">
      <c r="A118" s="139" t="s">
        <v>243</v>
      </c>
      <c r="B118" s="168"/>
      <c r="C118" s="168"/>
      <c r="D118" s="169"/>
      <c r="E118" s="169"/>
      <c r="F118" s="169"/>
      <c r="G118" s="169"/>
      <c r="H118" s="169"/>
      <c r="I118" s="169">
        <v>15.9</v>
      </c>
      <c r="J118" s="169">
        <v>9.8000000000000007</v>
      </c>
      <c r="K118" s="169"/>
      <c r="L118" s="169"/>
      <c r="M118" s="169"/>
      <c r="N118" s="169"/>
      <c r="O118" s="169"/>
      <c r="P118" s="169"/>
      <c r="Q118" s="169"/>
      <c r="R118" s="169"/>
      <c r="S118" s="163"/>
      <c r="T118" s="109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2"/>
      <c r="AX118" s="141"/>
    </row>
    <row r="119" spans="1:50" ht="16.5" thickBot="1" x14ac:dyDescent="0.3">
      <c r="A119" s="139" t="s">
        <v>244</v>
      </c>
      <c r="B119" s="168"/>
      <c r="C119" s="168"/>
      <c r="D119" s="222"/>
      <c r="E119" s="222"/>
      <c r="F119" s="222"/>
      <c r="G119" s="222"/>
      <c r="H119" s="222">
        <f>+H116</f>
        <v>64.300000000000026</v>
      </c>
      <c r="I119" s="222">
        <f t="shared" ref="I119:R119" si="257">+I118+I116</f>
        <v>73.099999999999923</v>
      </c>
      <c r="J119" s="222">
        <f t="shared" si="257"/>
        <v>77.299999999999955</v>
      </c>
      <c r="K119" s="222">
        <f t="shared" si="257"/>
        <v>83.500000000000114</v>
      </c>
      <c r="L119" s="222">
        <f t="shared" si="257"/>
        <v>93.800000000000182</v>
      </c>
      <c r="M119" s="222">
        <f t="shared" si="257"/>
        <v>117.40000000000016</v>
      </c>
      <c r="N119" s="222">
        <f t="shared" ref="N119:P119" si="258">+N118+N116</f>
        <v>122.6999999999999</v>
      </c>
      <c r="O119" s="222">
        <f t="shared" si="258"/>
        <v>128.90000000000012</v>
      </c>
      <c r="P119" s="222">
        <f t="shared" si="258"/>
        <v>144.40000000000023</v>
      </c>
      <c r="Q119" s="222">
        <f t="shared" ref="Q119" si="259">+Q118+Q116</f>
        <v>131.00000000000014</v>
      </c>
      <c r="R119" s="222">
        <f t="shared" si="257"/>
        <v>62.19999999999991</v>
      </c>
      <c r="S119" s="113">
        <f>RATE(5,,-M119,Q119)</f>
        <v>2.2164137574362142E-2</v>
      </c>
      <c r="T119" s="109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2"/>
      <c r="AX119" s="141"/>
    </row>
    <row r="120" spans="1:50" ht="17.25" thickTop="1" thickBot="1" x14ac:dyDescent="0.3">
      <c r="A120" s="81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13"/>
      <c r="T120" s="109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2"/>
      <c r="AX120" s="141"/>
    </row>
    <row r="121" spans="1:50" ht="15.75" thickTop="1" x14ac:dyDescent="0.2">
      <c r="A121" s="59"/>
      <c r="B121" s="197"/>
      <c r="C121" s="197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13"/>
      <c r="T121" s="7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33"/>
      <c r="AW121" s="2"/>
    </row>
    <row r="122" spans="1:50" ht="15" hidden="1" x14ac:dyDescent="0.2">
      <c r="A122" s="59" t="s">
        <v>55</v>
      </c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13"/>
      <c r="T122" s="79" t="str">
        <f>A122</f>
        <v>Preferred Stock Dividends</v>
      </c>
      <c r="U122" s="33" t="e">
        <f>#REF!/#REF!</f>
        <v>#REF!</v>
      </c>
      <c r="V122" s="33" t="e">
        <f>#REF!/#REF!</f>
        <v>#REF!</v>
      </c>
      <c r="W122" s="33" t="e">
        <f>#REF!/#REF!</f>
        <v>#REF!</v>
      </c>
      <c r="X122" s="33" t="e">
        <f>#REF!/#REF!</f>
        <v>#REF!</v>
      </c>
      <c r="Y122" s="33" t="e">
        <f>#REF!/#REF!</f>
        <v>#REF!</v>
      </c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2"/>
    </row>
    <row r="123" spans="1:50" ht="15" x14ac:dyDescent="0.2">
      <c r="A123" s="59" t="s">
        <v>56</v>
      </c>
      <c r="B123" s="168">
        <v>28.2</v>
      </c>
      <c r="C123" s="168">
        <v>28.8</v>
      </c>
      <c r="D123" s="168">
        <v>30.3</v>
      </c>
      <c r="E123" s="168">
        <v>33</v>
      </c>
      <c r="F123" s="168">
        <v>35.5</v>
      </c>
      <c r="G123" s="168">
        <v>36</v>
      </c>
      <c r="H123" s="168">
        <v>38</v>
      </c>
      <c r="I123" s="168">
        <v>30</v>
      </c>
      <c r="J123" s="168">
        <v>0</v>
      </c>
      <c r="K123" s="168">
        <v>0</v>
      </c>
      <c r="L123" s="168">
        <v>0</v>
      </c>
      <c r="M123" s="168"/>
      <c r="N123" s="168">
        <v>100</v>
      </c>
      <c r="O123" s="168"/>
      <c r="P123" s="168">
        <v>20</v>
      </c>
      <c r="Q123" s="168">
        <v>100</v>
      </c>
      <c r="R123" s="168"/>
      <c r="S123" s="113"/>
      <c r="T123" s="79" t="str">
        <f>A123</f>
        <v>Common Stock Dividends</v>
      </c>
      <c r="U123" s="33" t="e">
        <f>#REF!/#REF!</f>
        <v>#REF!</v>
      </c>
      <c r="V123" s="33" t="e">
        <f>#REF!/#REF!</f>
        <v>#REF!</v>
      </c>
      <c r="W123" s="33" t="e">
        <f>#REF!/#REF!</f>
        <v>#REF!</v>
      </c>
      <c r="X123" s="33" t="e">
        <f>#REF!/#REF!</f>
        <v>#REF!</v>
      </c>
      <c r="Y123" s="33" t="e">
        <f>#REF!/#REF!</f>
        <v>#REF!</v>
      </c>
      <c r="Z123" s="33" t="e">
        <f>#REF!/#REF!</f>
        <v>#REF!</v>
      </c>
      <c r="AA123" s="33" t="e">
        <f>#REF!/#REF!</f>
        <v>#REF!</v>
      </c>
      <c r="AB123" s="33" t="e">
        <f>#REF!/#REF!</f>
        <v>#REF!</v>
      </c>
      <c r="AC123" s="33" t="e">
        <f>#REF!/#REF!</f>
        <v>#REF!</v>
      </c>
      <c r="AD123" s="33" t="e">
        <f>#REF!/#REF!</f>
        <v>#REF!</v>
      </c>
      <c r="AE123" s="33">
        <f t="shared" ref="AE123:AQ123" si="260">B123/B$116</f>
        <v>1.0681818181818099</v>
      </c>
      <c r="AF123" s="33">
        <f t="shared" si="260"/>
        <v>0.65603644646924797</v>
      </c>
      <c r="AG123" s="113">
        <f t="shared" si="260"/>
        <v>0.65726681127982611</v>
      </c>
      <c r="AH123" s="185">
        <f t="shared" si="260"/>
        <v>0.70063694267516119</v>
      </c>
      <c r="AI123" s="185">
        <f t="shared" si="260"/>
        <v>0.6723484848484852</v>
      </c>
      <c r="AJ123" s="185">
        <f t="shared" si="260"/>
        <v>0.65217391304347705</v>
      </c>
      <c r="AK123" s="185">
        <f t="shared" si="260"/>
        <v>0.59097978227060632</v>
      </c>
      <c r="AL123" s="185">
        <f t="shared" si="260"/>
        <v>0.52447552447552515</v>
      </c>
      <c r="AM123" s="185">
        <f t="shared" si="260"/>
        <v>0</v>
      </c>
      <c r="AN123" s="185">
        <f t="shared" si="260"/>
        <v>0</v>
      </c>
      <c r="AO123" s="185">
        <f t="shared" si="260"/>
        <v>0</v>
      </c>
      <c r="AP123" s="185">
        <f t="shared" si="260"/>
        <v>0</v>
      </c>
      <c r="AQ123" s="185">
        <f t="shared" si="260"/>
        <v>0.81499592502037554</v>
      </c>
      <c r="AR123" s="185">
        <f t="shared" ref="AR123" si="261">O123/O$116</f>
        <v>0</v>
      </c>
      <c r="AS123" s="185">
        <f t="shared" ref="AS123" si="262">P123/P$116</f>
        <v>0.13850415512465353</v>
      </c>
      <c r="AT123" s="185">
        <f t="shared" ref="AT123" si="263">Q123/Q$116</f>
        <v>0.76335877862595336</v>
      </c>
      <c r="AU123" s="185">
        <f>R123/R$116</f>
        <v>0</v>
      </c>
      <c r="AV123" s="113">
        <f>SUM(M123:Q123)/SUM(M$119:Q$119)</f>
        <v>0.34140285536933551</v>
      </c>
      <c r="AW123" s="2"/>
    </row>
    <row r="124" spans="1:50" ht="15" x14ac:dyDescent="0.2">
      <c r="A124" s="59" t="s">
        <v>198</v>
      </c>
      <c r="C124" s="106">
        <f t="shared" ref="C124:H124" si="264">+C123/C116</f>
        <v>0.65603644646924797</v>
      </c>
      <c r="D124" s="106">
        <f t="shared" si="264"/>
        <v>0.65726681127982611</v>
      </c>
      <c r="E124" s="106">
        <f t="shared" si="264"/>
        <v>0.70063694267516119</v>
      </c>
      <c r="F124" s="106">
        <f t="shared" si="264"/>
        <v>0.6723484848484852</v>
      </c>
      <c r="G124" s="106">
        <f t="shared" si="264"/>
        <v>0.65217391304347705</v>
      </c>
      <c r="H124" s="106">
        <f t="shared" si="264"/>
        <v>0.59097978227060632</v>
      </c>
      <c r="I124" s="106">
        <f t="shared" ref="I124:R124" si="265">+I123/I116</f>
        <v>0.52447552447552515</v>
      </c>
      <c r="J124" s="106">
        <f t="shared" si="265"/>
        <v>0</v>
      </c>
      <c r="K124" s="106">
        <f t="shared" si="265"/>
        <v>0</v>
      </c>
      <c r="L124" s="106">
        <f t="shared" si="265"/>
        <v>0</v>
      </c>
      <c r="M124" s="106">
        <f t="shared" si="265"/>
        <v>0</v>
      </c>
      <c r="N124" s="106">
        <f t="shared" ref="N124:P124" si="266">+N123/N116</f>
        <v>0.81499592502037554</v>
      </c>
      <c r="O124" s="106">
        <f t="shared" si="266"/>
        <v>0</v>
      </c>
      <c r="P124" s="106">
        <f t="shared" si="266"/>
        <v>0.13850415512465353</v>
      </c>
      <c r="Q124" s="106">
        <f t="shared" ref="Q124" si="267">+Q123/Q116</f>
        <v>0.76335877862595336</v>
      </c>
      <c r="R124" s="106">
        <f t="shared" si="265"/>
        <v>0</v>
      </c>
      <c r="S124" s="113"/>
      <c r="T124" s="59" t="str">
        <f>A124</f>
        <v>Dividend Payout Ratio</v>
      </c>
      <c r="AW124" s="2"/>
    </row>
    <row r="125" spans="1:50" ht="15" x14ac:dyDescent="0.2">
      <c r="A125" s="59"/>
      <c r="S125" s="33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</row>
    <row r="126" spans="1:5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51"/>
      <c r="L126" s="251"/>
      <c r="M126" s="251"/>
      <c r="N126" s="251"/>
      <c r="O126" s="251"/>
      <c r="P126" s="251"/>
      <c r="Q126" s="251"/>
      <c r="R126" s="2"/>
      <c r="S126" s="73" t="s">
        <v>109</v>
      </c>
      <c r="AV126" s="16" t="str">
        <f>+S126</f>
        <v>Exhibit 1</v>
      </c>
    </row>
    <row r="127" spans="1:50" ht="15.75" x14ac:dyDescent="0.25">
      <c r="A127" s="3"/>
      <c r="B127" s="100"/>
      <c r="S127" s="108" t="s">
        <v>272</v>
      </c>
      <c r="AV127" s="108" t="s">
        <v>232</v>
      </c>
    </row>
    <row r="128" spans="1:50" ht="20.25" x14ac:dyDescent="0.3">
      <c r="A128" s="313" t="str">
        <f>A3</f>
        <v>Questar Gas Company dba Enbridge Gas Utah</v>
      </c>
      <c r="B128" s="313"/>
      <c r="C128" s="313"/>
      <c r="D128" s="31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 t="str">
        <f>+A128</f>
        <v>Questar Gas Company dba Enbridge Gas Utah</v>
      </c>
      <c r="U128" s="313"/>
      <c r="V128" s="313"/>
      <c r="W128" s="313"/>
      <c r="X128" s="313"/>
      <c r="Y128" s="313"/>
      <c r="Z128" s="313"/>
      <c r="AA128" s="313"/>
      <c r="AB128" s="313"/>
      <c r="AC128" s="313"/>
      <c r="AD128" s="313"/>
      <c r="AE128" s="313"/>
      <c r="AF128" s="313"/>
      <c r="AG128" s="313"/>
      <c r="AH128" s="313"/>
      <c r="AI128" s="313"/>
      <c r="AJ128" s="313"/>
      <c r="AK128" s="313"/>
      <c r="AL128" s="313"/>
      <c r="AM128" s="313"/>
      <c r="AN128" s="313"/>
      <c r="AO128" s="313"/>
      <c r="AP128" s="313"/>
      <c r="AQ128" s="313"/>
      <c r="AR128" s="313"/>
      <c r="AS128" s="313"/>
      <c r="AT128" s="313"/>
      <c r="AU128" s="313"/>
      <c r="AV128" s="313"/>
    </row>
    <row r="129" spans="1:49" ht="15.75" x14ac:dyDescent="0.25">
      <c r="A129" s="311" t="s">
        <v>46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0" t="s">
        <v>140</v>
      </c>
      <c r="U129" s="310"/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0"/>
      <c r="AN129" s="310"/>
      <c r="AO129" s="310"/>
      <c r="AP129" s="310"/>
      <c r="AQ129" s="310"/>
      <c r="AR129" s="310"/>
      <c r="AS129" s="310"/>
      <c r="AT129" s="310"/>
      <c r="AU129" s="310"/>
      <c r="AV129" s="310"/>
    </row>
    <row r="130" spans="1:49" ht="15.75" x14ac:dyDescent="0.25">
      <c r="A130" s="312" t="str">
        <f>A5</f>
        <v>Years Ended December 31</v>
      </c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2"/>
      <c r="N130" s="312"/>
      <c r="O130" s="312"/>
      <c r="P130" s="312"/>
      <c r="Q130" s="312"/>
      <c r="R130" s="312"/>
      <c r="S130" s="312"/>
      <c r="T130" s="314" t="str">
        <f>+A130</f>
        <v>Years Ended December 31</v>
      </c>
      <c r="U130" s="314"/>
      <c r="V130" s="314"/>
      <c r="W130" s="314"/>
      <c r="X130" s="314"/>
      <c r="Y130" s="314"/>
      <c r="Z130" s="314"/>
      <c r="AA130" s="314"/>
      <c r="AB130" s="314"/>
      <c r="AC130" s="314"/>
      <c r="AD130" s="314"/>
      <c r="AE130" s="314"/>
      <c r="AF130" s="314"/>
      <c r="AG130" s="314"/>
      <c r="AH130" s="314"/>
      <c r="AI130" s="314"/>
      <c r="AJ130" s="314"/>
      <c r="AK130" s="314"/>
      <c r="AL130" s="314"/>
      <c r="AM130" s="314"/>
      <c r="AN130" s="314"/>
      <c r="AO130" s="314"/>
      <c r="AP130" s="314"/>
      <c r="AQ130" s="314"/>
      <c r="AR130" s="314"/>
      <c r="AS130" s="314"/>
      <c r="AT130" s="314"/>
      <c r="AU130" s="314"/>
      <c r="AV130" s="314"/>
    </row>
    <row r="131" spans="1:49" ht="15.75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279"/>
      <c r="L131" s="279"/>
      <c r="M131" s="279"/>
      <c r="N131" s="279"/>
      <c r="O131" s="279"/>
      <c r="P131" s="279"/>
      <c r="Q131" s="279"/>
      <c r="R131" s="54"/>
      <c r="S131" s="68"/>
    </row>
    <row r="132" spans="1:49" ht="15.75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289"/>
      <c r="L132" s="289"/>
      <c r="M132" s="289"/>
      <c r="N132" s="289"/>
      <c r="O132" s="289"/>
      <c r="P132" s="289"/>
      <c r="Q132" s="289"/>
      <c r="R132" s="69"/>
      <c r="S132" s="70"/>
      <c r="AD132" s="142"/>
      <c r="AE132" s="142"/>
      <c r="AF132" s="142"/>
      <c r="AG132" s="142"/>
      <c r="AH132" s="142"/>
      <c r="AI132" s="142"/>
    </row>
    <row r="133" spans="1:49" ht="15.75" x14ac:dyDescent="0.25">
      <c r="A133" s="69"/>
      <c r="B133" s="72"/>
      <c r="C133" s="72"/>
      <c r="D133" s="72"/>
      <c r="E133" s="132"/>
      <c r="F133" s="72"/>
      <c r="G133" s="72"/>
      <c r="H133" s="72"/>
      <c r="I133" s="72"/>
      <c r="J133" s="72"/>
      <c r="K133" s="285"/>
      <c r="L133" s="285"/>
      <c r="M133" s="285"/>
      <c r="N133" s="285"/>
      <c r="O133" s="285"/>
      <c r="P133" s="285"/>
      <c r="Q133" s="285"/>
      <c r="R133" s="72" t="str">
        <f>+R88</f>
        <v>3rd Qrtr</v>
      </c>
      <c r="S133" s="182" t="s">
        <v>211</v>
      </c>
      <c r="T133" s="139" t="str">
        <f>+A87</f>
        <v>(Dollars in Millions)</v>
      </c>
      <c r="AF133" s="103"/>
      <c r="AG133" s="103"/>
      <c r="AH133" s="103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 t="str">
        <f>+R133</f>
        <v>3rd Qrtr</v>
      </c>
      <c r="AV133" s="182" t="s">
        <v>268</v>
      </c>
    </row>
    <row r="134" spans="1:49" ht="15.75" x14ac:dyDescent="0.25">
      <c r="A134" s="76" t="s">
        <v>26</v>
      </c>
      <c r="B134" s="75">
        <f>+B89</f>
        <v>2009</v>
      </c>
      <c r="C134" s="75">
        <f>+C8</f>
        <v>2010</v>
      </c>
      <c r="D134" s="75">
        <f>+D8</f>
        <v>2011</v>
      </c>
      <c r="E134" s="133">
        <f>+E8</f>
        <v>2012</v>
      </c>
      <c r="F134" s="133">
        <f>+F8</f>
        <v>2013</v>
      </c>
      <c r="G134" s="133">
        <f t="shared" ref="G134:M134" si="268">+G89</f>
        <v>2014</v>
      </c>
      <c r="H134" s="133">
        <f t="shared" si="268"/>
        <v>2015</v>
      </c>
      <c r="I134" s="133">
        <f t="shared" si="268"/>
        <v>2016</v>
      </c>
      <c r="J134" s="133">
        <f t="shared" si="268"/>
        <v>2017</v>
      </c>
      <c r="K134" s="286">
        <f t="shared" si="268"/>
        <v>2018</v>
      </c>
      <c r="L134" s="286">
        <f t="shared" si="268"/>
        <v>2019</v>
      </c>
      <c r="M134" s="286">
        <f t="shared" si="268"/>
        <v>2020</v>
      </c>
      <c r="N134" s="286">
        <f t="shared" ref="N134:P134" si="269">+N89</f>
        <v>2021</v>
      </c>
      <c r="O134" s="286">
        <f t="shared" si="269"/>
        <v>2022</v>
      </c>
      <c r="P134" s="286">
        <f t="shared" si="269"/>
        <v>2023</v>
      </c>
      <c r="Q134" s="286">
        <f t="shared" ref="Q134" si="270">+Q89</f>
        <v>2024</v>
      </c>
      <c r="R134" s="133">
        <f>+R89</f>
        <v>2025</v>
      </c>
      <c r="S134" s="181" t="s">
        <v>2</v>
      </c>
      <c r="Z134" s="103" t="e">
        <f>+#REF!</f>
        <v>#REF!</v>
      </c>
      <c r="AA134" s="103" t="e">
        <f>+#REF!</f>
        <v>#REF!</v>
      </c>
      <c r="AB134" s="103" t="e">
        <f>+#REF!</f>
        <v>#REF!</v>
      </c>
      <c r="AC134" s="103" t="e">
        <f>+#REF!</f>
        <v>#REF!</v>
      </c>
      <c r="AD134" s="103" t="e">
        <f>+#REF!</f>
        <v>#REF!</v>
      </c>
      <c r="AE134" s="103">
        <f t="shared" ref="AE134:AQ134" si="271">+B134</f>
        <v>2009</v>
      </c>
      <c r="AF134" s="103">
        <f t="shared" si="271"/>
        <v>2010</v>
      </c>
      <c r="AG134" s="103">
        <f t="shared" si="271"/>
        <v>2011</v>
      </c>
      <c r="AH134" s="103">
        <f t="shared" si="271"/>
        <v>2012</v>
      </c>
      <c r="AI134" s="103">
        <f t="shared" si="271"/>
        <v>2013</v>
      </c>
      <c r="AJ134" s="103">
        <f t="shared" si="271"/>
        <v>2014</v>
      </c>
      <c r="AK134" s="103">
        <f t="shared" si="271"/>
        <v>2015</v>
      </c>
      <c r="AL134" s="103">
        <f t="shared" si="271"/>
        <v>2016</v>
      </c>
      <c r="AM134" s="103">
        <f t="shared" si="271"/>
        <v>2017</v>
      </c>
      <c r="AN134" s="103">
        <f t="shared" si="271"/>
        <v>2018</v>
      </c>
      <c r="AO134" s="103">
        <f t="shared" si="271"/>
        <v>2019</v>
      </c>
      <c r="AP134" s="103">
        <f t="shared" si="271"/>
        <v>2020</v>
      </c>
      <c r="AQ134" s="103">
        <f t="shared" si="271"/>
        <v>2021</v>
      </c>
      <c r="AR134" s="103">
        <f t="shared" ref="AR134" si="272">+O134</f>
        <v>2022</v>
      </c>
      <c r="AS134" s="103">
        <f t="shared" ref="AS134:AT134" si="273">+P134</f>
        <v>2023</v>
      </c>
      <c r="AT134" s="103">
        <f t="shared" si="273"/>
        <v>2024</v>
      </c>
      <c r="AU134" s="103">
        <f>+R134</f>
        <v>2025</v>
      </c>
      <c r="AV134" s="182" t="str">
        <f>+S134</f>
        <v>Average</v>
      </c>
    </row>
    <row r="135" spans="1:49" ht="15.75" customHeight="1" x14ac:dyDescent="0.25">
      <c r="A135" s="59"/>
      <c r="B135" s="60"/>
      <c r="C135" s="60"/>
      <c r="D135" s="60"/>
      <c r="E135" s="60"/>
      <c r="F135" s="60"/>
      <c r="G135" s="60"/>
      <c r="H135" s="60"/>
      <c r="I135" s="60"/>
      <c r="J135" s="60"/>
      <c r="K135" s="287"/>
      <c r="L135" s="287"/>
      <c r="M135" s="287"/>
      <c r="N135" s="287"/>
      <c r="O135" s="287"/>
      <c r="P135" s="287"/>
      <c r="Q135" s="287"/>
      <c r="R135" s="60"/>
      <c r="S135" s="61"/>
      <c r="T135" s="115" t="s">
        <v>145</v>
      </c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7"/>
    </row>
    <row r="136" spans="1:49" ht="15.75" x14ac:dyDescent="0.25">
      <c r="A136" s="81" t="s">
        <v>34</v>
      </c>
      <c r="B136" s="80"/>
      <c r="C136" s="80"/>
      <c r="D136" s="80"/>
      <c r="E136" s="80"/>
      <c r="F136" s="80"/>
      <c r="G136" s="80"/>
      <c r="H136" s="80"/>
      <c r="I136" s="80"/>
      <c r="J136" s="80"/>
      <c r="K136" s="173"/>
      <c r="L136" s="173"/>
      <c r="M136" s="173"/>
      <c r="N136" s="173"/>
      <c r="O136" s="173"/>
      <c r="P136" s="173"/>
      <c r="Q136" s="173"/>
      <c r="R136" s="80"/>
      <c r="S136" s="33"/>
      <c r="T136" s="118" t="s">
        <v>275</v>
      </c>
      <c r="Z136" s="119">
        <v>680.7</v>
      </c>
      <c r="AA136" s="119">
        <v>867.8</v>
      </c>
      <c r="AB136" s="119">
        <v>988.4</v>
      </c>
      <c r="AC136" s="119">
        <v>876.6</v>
      </c>
      <c r="AD136" s="119">
        <v>926.7</v>
      </c>
      <c r="AE136" s="119">
        <v>874</v>
      </c>
      <c r="AF136" s="119">
        <v>833</v>
      </c>
      <c r="AG136" s="119">
        <v>893</v>
      </c>
      <c r="AH136" s="119">
        <v>788.4</v>
      </c>
      <c r="AI136" s="119">
        <v>910.3</v>
      </c>
      <c r="AJ136" s="168">
        <v>875.7</v>
      </c>
      <c r="AK136" s="168">
        <v>847.3</v>
      </c>
      <c r="AL136" s="168">
        <v>854.6</v>
      </c>
      <c r="AM136" s="168">
        <v>877.8</v>
      </c>
      <c r="AN136" s="168">
        <f>663.2</f>
        <v>663.2</v>
      </c>
      <c r="AO136" s="168">
        <f>679.6</f>
        <v>679.6</v>
      </c>
      <c r="AP136" s="168">
        <f>651</f>
        <v>651</v>
      </c>
      <c r="AQ136" s="168">
        <f>689.1</f>
        <v>689.1</v>
      </c>
      <c r="AR136" s="168">
        <v>895.9</v>
      </c>
      <c r="AS136" s="168">
        <v>1157.3</v>
      </c>
      <c r="AT136" s="168">
        <v>979.7</v>
      </c>
      <c r="AU136" s="303">
        <v>524.29999999999995</v>
      </c>
      <c r="AV136" s="120">
        <f>AVERAGE(AP136:AT136)</f>
        <v>874.6</v>
      </c>
      <c r="AW136" s="142"/>
    </row>
    <row r="137" spans="1:49" ht="15" x14ac:dyDescent="0.2">
      <c r="A137" s="59" t="s">
        <v>5</v>
      </c>
      <c r="B137" s="80">
        <f t="shared" ref="B137:G137" si="274">B24/B59</f>
        <v>0.86538461538461531</v>
      </c>
      <c r="C137" s="80">
        <f t="shared" si="274"/>
        <v>0.84213564213564207</v>
      </c>
      <c r="D137" s="80">
        <f t="shared" si="274"/>
        <v>0.5783442469597756</v>
      </c>
      <c r="E137" s="80">
        <f t="shared" si="274"/>
        <v>0.69234629861982444</v>
      </c>
      <c r="F137" s="80">
        <f t="shared" si="274"/>
        <v>1.2085289514866979</v>
      </c>
      <c r="G137" s="80">
        <f t="shared" si="274"/>
        <v>0.99809316262598768</v>
      </c>
      <c r="H137" s="80">
        <f t="shared" ref="H137:M137" si="275">H24/H59</f>
        <v>0.81989775855289027</v>
      </c>
      <c r="I137" s="80">
        <f t="shared" si="275"/>
        <v>0.57065099063792724</v>
      </c>
      <c r="J137" s="80">
        <f t="shared" si="275"/>
        <v>0.51077703314616929</v>
      </c>
      <c r="K137" s="173">
        <f t="shared" si="275"/>
        <v>1.0935441370223979</v>
      </c>
      <c r="L137" s="173">
        <f t="shared" si="275"/>
        <v>0.89410889616185663</v>
      </c>
      <c r="M137" s="173">
        <f t="shared" si="275"/>
        <v>0.62377919320594466</v>
      </c>
      <c r="N137" s="173">
        <f t="shared" ref="N137" si="276">N24/N59</f>
        <v>0.67889908256880716</v>
      </c>
      <c r="O137" s="173">
        <f t="shared" ref="O137:P137" si="277">O24/O59</f>
        <v>1.0718827757810339</v>
      </c>
      <c r="P137" s="173">
        <f t="shared" si="277"/>
        <v>0.85901198337001705</v>
      </c>
      <c r="Q137" s="173">
        <f t="shared" ref="Q137" si="278">Q24/Q59</f>
        <v>0.91709034024247171</v>
      </c>
      <c r="R137" s="173">
        <f t="shared" ref="R137" si="279">R24/R59</f>
        <v>0.61194029850746279</v>
      </c>
      <c r="S137" s="80">
        <f>AVERAGE(M137:Q137)</f>
        <v>0.83013267503365484</v>
      </c>
      <c r="T137" s="59" t="s">
        <v>274</v>
      </c>
      <c r="AL137" s="155"/>
      <c r="AM137" s="155"/>
      <c r="AN137" s="155">
        <v>185.9</v>
      </c>
      <c r="AO137" s="155">
        <v>180</v>
      </c>
      <c r="AP137" s="155">
        <v>211.9</v>
      </c>
      <c r="AQ137" s="155">
        <v>229.6</v>
      </c>
      <c r="AR137" s="155">
        <v>313.5</v>
      </c>
      <c r="AS137" s="155">
        <v>416.9</v>
      </c>
      <c r="AT137" s="155">
        <v>348.4</v>
      </c>
      <c r="AU137" s="309">
        <v>173.8</v>
      </c>
      <c r="AV137" s="120">
        <f t="shared" ref="AV137:AV139" si="280">AVERAGE(AP137:AT137)</f>
        <v>304.06000000000006</v>
      </c>
      <c r="AW137" s="142"/>
    </row>
    <row r="138" spans="1:49" ht="15" x14ac:dyDescent="0.2">
      <c r="A138" s="59" t="s">
        <v>25</v>
      </c>
      <c r="B138" s="80">
        <f>(B11+B13)/B59</f>
        <v>0.26116625310173697</v>
      </c>
      <c r="C138" s="80">
        <f t="shared" ref="C138:N138" si="281">(C11+C13+C14+C15)/C59</f>
        <v>0.50793650793650791</v>
      </c>
      <c r="D138" s="80">
        <f t="shared" si="281"/>
        <v>0.3697380729653883</v>
      </c>
      <c r="E138" s="80">
        <f t="shared" si="281"/>
        <v>0.44767879548306155</v>
      </c>
      <c r="F138" s="80">
        <f t="shared" si="281"/>
        <v>0.85563380281690138</v>
      </c>
      <c r="G138" s="80">
        <f t="shared" si="281"/>
        <v>0.61318441841460103</v>
      </c>
      <c r="H138" s="80">
        <f t="shared" si="281"/>
        <v>0.48859614628391662</v>
      </c>
      <c r="I138" s="80">
        <f t="shared" si="281"/>
        <v>0.37426518615284127</v>
      </c>
      <c r="J138" s="80">
        <f t="shared" si="281"/>
        <v>0.32965042564752761</v>
      </c>
      <c r="K138" s="173">
        <f t="shared" si="281"/>
        <v>0.6908212560386473</v>
      </c>
      <c r="L138" s="173">
        <f t="shared" si="281"/>
        <v>0.51800059506099383</v>
      </c>
      <c r="M138" s="173">
        <f t="shared" si="281"/>
        <v>0.4070063694267515</v>
      </c>
      <c r="N138" s="173">
        <f t="shared" si="281"/>
        <v>0.35479887085391665</v>
      </c>
      <c r="O138" s="173">
        <f t="shared" ref="O138:P138" si="282">(O11+O13+O14+O15)/O59</f>
        <v>0.45369090406414148</v>
      </c>
      <c r="P138" s="173">
        <f t="shared" si="282"/>
        <v>0.40070921985815605</v>
      </c>
      <c r="Q138" s="173">
        <f t="shared" ref="Q138" si="283">(Q11+Q13+Q14+Q15)/Q59</f>
        <v>0.65271802894016429</v>
      </c>
      <c r="R138" s="173">
        <f t="shared" ref="R138" si="284">(R11+R13+R14+R15)/R59</f>
        <v>0.20238805970149257</v>
      </c>
      <c r="S138" s="80">
        <f t="shared" ref="S138:S139" si="285">AVERAGE(M138:Q138)</f>
        <v>0.45378467862862604</v>
      </c>
      <c r="T138" s="118" t="s">
        <v>141</v>
      </c>
      <c r="Z138" s="119">
        <v>49.1</v>
      </c>
      <c r="AA138" s="119">
        <v>40.1</v>
      </c>
      <c r="AB138" s="119">
        <v>23.5</v>
      </c>
      <c r="AC138" s="119">
        <v>9.9</v>
      </c>
      <c r="AD138" s="119">
        <v>12</v>
      </c>
      <c r="AE138" s="119">
        <v>8.3000000000000007</v>
      </c>
      <c r="AF138" s="119">
        <v>26.7</v>
      </c>
      <c r="AG138" s="119">
        <v>29.7</v>
      </c>
      <c r="AH138" s="119">
        <v>27.4</v>
      </c>
      <c r="AI138" s="119">
        <v>28.1</v>
      </c>
      <c r="AJ138" s="168">
        <v>29.9</v>
      </c>
      <c r="AK138" s="168">
        <v>23.6</v>
      </c>
      <c r="AL138" s="168">
        <v>17.3</v>
      </c>
      <c r="AM138" s="168">
        <v>11.7</v>
      </c>
      <c r="AN138" s="168">
        <v>5.6</v>
      </c>
      <c r="AO138" s="168">
        <v>4.3</v>
      </c>
      <c r="AP138" s="168">
        <v>4.3</v>
      </c>
      <c r="AQ138" s="168">
        <v>4.5999999999999996</v>
      </c>
      <c r="AR138" s="168">
        <v>5.6</v>
      </c>
      <c r="AS138" s="168">
        <v>7.4</v>
      </c>
      <c r="AT138" s="168">
        <v>5.9</v>
      </c>
      <c r="AU138" s="303">
        <v>2.9</v>
      </c>
      <c r="AV138" s="120">
        <f t="shared" si="280"/>
        <v>5.56</v>
      </c>
      <c r="AW138" s="142"/>
    </row>
    <row r="139" spans="1:49" ht="15" x14ac:dyDescent="0.2">
      <c r="A139" s="59" t="s">
        <v>8</v>
      </c>
      <c r="B139" s="80" t="e">
        <f>365*(((#REF!+B13)/2)/((#REF!+B94)/2))</f>
        <v>#REF!</v>
      </c>
      <c r="C139" s="80">
        <f t="shared" ref="C139:N139" si="286">365*(((B13+B14+B15+C13+C14+C15)/2)/((B94+C94)/2))</f>
        <v>67.721637041913539</v>
      </c>
      <c r="D139" s="80">
        <f t="shared" si="286"/>
        <v>63.261206389912914</v>
      </c>
      <c r="E139" s="80">
        <f t="shared" si="286"/>
        <v>65.803659202621532</v>
      </c>
      <c r="F139" s="80">
        <f t="shared" si="286"/>
        <v>76.416937229437224</v>
      </c>
      <c r="G139" s="80">
        <f t="shared" si="286"/>
        <v>77.848666974880572</v>
      </c>
      <c r="H139" s="80">
        <f t="shared" si="286"/>
        <v>86.134948096885822</v>
      </c>
      <c r="I139" s="80">
        <f t="shared" si="286"/>
        <v>79.85181358420796</v>
      </c>
      <c r="J139" s="80">
        <f t="shared" si="286"/>
        <v>66.34587592998983</v>
      </c>
      <c r="K139" s="173">
        <f t="shared" si="286"/>
        <v>63.815295505738497</v>
      </c>
      <c r="L139" s="173">
        <f t="shared" si="286"/>
        <v>62.401440485216085</v>
      </c>
      <c r="M139" s="173">
        <f t="shared" si="286"/>
        <v>68.610647574958293</v>
      </c>
      <c r="N139" s="173">
        <f t="shared" si="286"/>
        <v>71.931965051956766</v>
      </c>
      <c r="O139" s="173">
        <f t="shared" ref="O139:Q139" si="287">365*(((N13+N14+N15+O13+O14+O15)/2)/((N94+O94)/2))</f>
        <v>80.22461273666093</v>
      </c>
      <c r="P139" s="173">
        <f t="shared" si="287"/>
        <v>76.235958823726662</v>
      </c>
      <c r="Q139" s="173">
        <f t="shared" si="287"/>
        <v>61.981355382619974</v>
      </c>
      <c r="R139" s="173">
        <f>365*(((P13+P14+P15+R13+R14+R15)/2)/((P94+R94)/2))</f>
        <v>54.927986502613059</v>
      </c>
      <c r="S139" s="80">
        <f t="shared" si="285"/>
        <v>71.796907913984526</v>
      </c>
      <c r="T139" s="118" t="s">
        <v>148</v>
      </c>
      <c r="Z139" s="119">
        <v>6.4</v>
      </c>
      <c r="AA139" s="119">
        <v>5.9</v>
      </c>
      <c r="AB139" s="119">
        <v>6.7</v>
      </c>
      <c r="AC139" s="119">
        <v>9.9</v>
      </c>
      <c r="AD139" s="119">
        <v>9.9</v>
      </c>
      <c r="AE139" s="119">
        <v>11.2</v>
      </c>
      <c r="AF139" s="119">
        <v>9.6999999999999993</v>
      </c>
      <c r="AG139" s="119">
        <v>11.3</v>
      </c>
      <c r="AH139" s="119">
        <v>11.9</v>
      </c>
      <c r="AI139" s="119">
        <v>14.4</v>
      </c>
      <c r="AJ139" s="168">
        <v>17.899999999999999</v>
      </c>
      <c r="AK139" s="168">
        <v>21.2</v>
      </c>
      <c r="AL139" s="168">
        <v>24.6</v>
      </c>
      <c r="AM139" s="168">
        <v>26.2</v>
      </c>
      <c r="AN139" s="168">
        <v>27.4</v>
      </c>
      <c r="AO139" s="168">
        <v>32.299999999999997</v>
      </c>
      <c r="AP139" s="168">
        <v>38</v>
      </c>
      <c r="AQ139" s="168">
        <v>46.1</v>
      </c>
      <c r="AR139" s="168">
        <v>50.3</v>
      </c>
      <c r="AS139" s="168">
        <v>60.6</v>
      </c>
      <c r="AT139" s="168">
        <v>61.7</v>
      </c>
      <c r="AU139" s="303">
        <v>45.3</v>
      </c>
      <c r="AV139" s="120">
        <f t="shared" si="280"/>
        <v>51.339999999999996</v>
      </c>
      <c r="AW139" s="142"/>
    </row>
    <row r="140" spans="1:49" ht="15" x14ac:dyDescent="0.2">
      <c r="A140" s="59"/>
      <c r="B140" s="80"/>
      <c r="C140" s="80"/>
      <c r="D140" s="80"/>
      <c r="E140" s="80"/>
      <c r="F140" s="80"/>
      <c r="G140" s="80"/>
      <c r="H140" s="80"/>
      <c r="I140" s="80"/>
      <c r="J140" s="80"/>
      <c r="K140" s="173"/>
      <c r="L140" s="173"/>
      <c r="M140" s="173"/>
      <c r="N140" s="173"/>
      <c r="O140" s="173"/>
      <c r="P140" s="173"/>
      <c r="Q140" s="173"/>
      <c r="R140" s="173"/>
      <c r="S140" s="80"/>
      <c r="T140" s="118" t="s">
        <v>142</v>
      </c>
      <c r="Z140" s="119">
        <v>5.3</v>
      </c>
      <c r="AA140" s="119">
        <v>6.6</v>
      </c>
      <c r="AB140" s="119">
        <v>7.1</v>
      </c>
      <c r="AC140" s="119">
        <v>5.9</v>
      </c>
      <c r="AD140" s="119">
        <v>5.6</v>
      </c>
      <c r="AE140" s="119">
        <v>5.4</v>
      </c>
      <c r="AF140" s="119">
        <v>4.8</v>
      </c>
      <c r="AG140" s="119">
        <v>5.0999999999999996</v>
      </c>
      <c r="AH140" s="119">
        <v>4.5</v>
      </c>
      <c r="AI140" s="119">
        <v>4.8</v>
      </c>
      <c r="AJ140" s="168">
        <v>4.8</v>
      </c>
      <c r="AK140" s="168">
        <v>4.7</v>
      </c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303"/>
      <c r="AV140" s="120"/>
      <c r="AW140" s="142"/>
    </row>
    <row r="141" spans="1:49" ht="15.75" x14ac:dyDescent="0.25">
      <c r="A141" s="81" t="s">
        <v>14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173"/>
      <c r="L141" s="173"/>
      <c r="M141" s="173"/>
      <c r="N141" s="173"/>
      <c r="O141" s="173"/>
      <c r="P141" s="173"/>
      <c r="Q141" s="173"/>
      <c r="R141" s="173"/>
      <c r="S141" s="80"/>
      <c r="T141" s="118" t="s">
        <v>143</v>
      </c>
      <c r="Z141" s="105">
        <v>22.7</v>
      </c>
      <c r="AA141" s="105">
        <v>42.1</v>
      </c>
      <c r="AB141" s="105">
        <v>38.9</v>
      </c>
      <c r="AC141" s="105">
        <v>30.2</v>
      </c>
      <c r="AD141" s="105">
        <v>46.1</v>
      </c>
      <c r="AE141" s="105">
        <v>21</v>
      </c>
      <c r="AF141" s="105">
        <v>28.7</v>
      </c>
      <c r="AG141" s="105">
        <v>29.7</v>
      </c>
      <c r="AH141" s="105">
        <v>30</v>
      </c>
      <c r="AI141" s="105">
        <v>28.2</v>
      </c>
      <c r="AJ141" s="169">
        <v>32.6</v>
      </c>
      <c r="AK141" s="169">
        <v>20.8</v>
      </c>
      <c r="AL141" s="169">
        <v>24.8</v>
      </c>
      <c r="AM141" s="169">
        <v>31.3</v>
      </c>
      <c r="AN141" s="169">
        <f>8.8+17.5+9.2</f>
        <v>35.5</v>
      </c>
      <c r="AO141" s="169">
        <f>7.8+12.4+12.6</f>
        <v>32.799999999999997</v>
      </c>
      <c r="AP141" s="169">
        <f>6+10.6+6.9</f>
        <v>23.5</v>
      </c>
      <c r="AQ141" s="169">
        <f>7.5+17.2+11.5</f>
        <v>36.200000000000003</v>
      </c>
      <c r="AR141" s="169">
        <f>13+24.6</f>
        <v>37.6</v>
      </c>
      <c r="AS141" s="169">
        <f>13.3+13.2</f>
        <v>26.5</v>
      </c>
      <c r="AT141" s="169">
        <f>12.2+12</f>
        <v>24.2</v>
      </c>
      <c r="AU141" s="304">
        <f>5.9+10.3+3.7</f>
        <v>19.900000000000002</v>
      </c>
      <c r="AV141" s="120">
        <f t="shared" ref="AV141:AV143" si="288">AVERAGE(AP141:AT141)</f>
        <v>29.6</v>
      </c>
      <c r="AW141" s="142"/>
    </row>
    <row r="142" spans="1:49" ht="15" x14ac:dyDescent="0.2">
      <c r="A142" s="59" t="s">
        <v>18</v>
      </c>
      <c r="B142" s="80">
        <f t="shared" ref="B142:G142" si="289">B77/B70</f>
        <v>0.42442293373045414</v>
      </c>
      <c r="C142" s="80">
        <f t="shared" si="289"/>
        <v>0.4172524603334003</v>
      </c>
      <c r="D142" s="80">
        <f t="shared" si="289"/>
        <v>0.45453632070732441</v>
      </c>
      <c r="E142" s="80">
        <f t="shared" si="289"/>
        <v>0.40390429299473096</v>
      </c>
      <c r="F142" s="80">
        <f t="shared" si="289"/>
        <v>0.47389194967519116</v>
      </c>
      <c r="G142" s="80">
        <f t="shared" si="289"/>
        <v>0.43513119533527694</v>
      </c>
      <c r="H142" s="80">
        <f t="shared" ref="H142:M142" si="290">H77/H70</f>
        <v>0.39756889200025453</v>
      </c>
      <c r="I142" s="80">
        <f t="shared" si="290"/>
        <v>0.3556709394775272</v>
      </c>
      <c r="J142" s="80">
        <f t="shared" si="290"/>
        <v>0.36756729355705375</v>
      </c>
      <c r="K142" s="173">
        <f t="shared" si="290"/>
        <v>0.56095803071464201</v>
      </c>
      <c r="L142" s="173">
        <f t="shared" si="290"/>
        <v>0.57706560885223646</v>
      </c>
      <c r="M142" s="173">
        <f t="shared" si="290"/>
        <v>0.59507590502140906</v>
      </c>
      <c r="N142" s="173">
        <f t="shared" ref="N142" si="291">N77/N70</f>
        <v>0.52676759133964812</v>
      </c>
      <c r="O142" s="173">
        <f t="shared" ref="O142:P142" si="292">O77/O70</f>
        <v>0.52056342005860123</v>
      </c>
      <c r="P142" s="173">
        <f t="shared" si="292"/>
        <v>0.55092337375964717</v>
      </c>
      <c r="Q142" s="173">
        <f t="shared" ref="Q142" si="293">Q77/Q70</f>
        <v>0.59642081231358379</v>
      </c>
      <c r="R142" s="173">
        <f t="shared" ref="R142" si="294">R77/R70</f>
        <v>0.65092984431416701</v>
      </c>
      <c r="S142" s="80">
        <f t="shared" ref="S142:S145" si="295">AVERAGE(M142:Q142)</f>
        <v>0.5579502204985779</v>
      </c>
      <c r="T142" s="118" t="s">
        <v>144</v>
      </c>
      <c r="Z142" s="119">
        <f t="shared" ref="Z142:AK142" si="296">+Z141+Z140+Z139+Z138+Z136</f>
        <v>764.2</v>
      </c>
      <c r="AA142" s="119">
        <f t="shared" si="296"/>
        <v>962.5</v>
      </c>
      <c r="AB142" s="119">
        <f t="shared" si="296"/>
        <v>1064.5999999999999</v>
      </c>
      <c r="AC142" s="119">
        <f t="shared" si="296"/>
        <v>932.5</v>
      </c>
      <c r="AD142" s="119">
        <f t="shared" si="296"/>
        <v>1000.3000000000001</v>
      </c>
      <c r="AE142" s="119">
        <f t="shared" si="296"/>
        <v>919.9</v>
      </c>
      <c r="AF142" s="119">
        <f t="shared" si="296"/>
        <v>902.9</v>
      </c>
      <c r="AG142" s="119">
        <f t="shared" si="296"/>
        <v>968.8</v>
      </c>
      <c r="AH142" s="119">
        <f t="shared" si="296"/>
        <v>862.19999999999993</v>
      </c>
      <c r="AI142" s="119">
        <f t="shared" si="296"/>
        <v>985.8</v>
      </c>
      <c r="AJ142" s="119">
        <f t="shared" si="296"/>
        <v>960.90000000000009</v>
      </c>
      <c r="AK142" s="119">
        <f t="shared" si="296"/>
        <v>917.59999999999991</v>
      </c>
      <c r="AL142" s="119">
        <f t="shared" ref="AL142:AP142" si="297">+AL141+AL140+AL139+AL138+AL136+AL137</f>
        <v>921.30000000000007</v>
      </c>
      <c r="AM142" s="119">
        <f t="shared" si="297"/>
        <v>947</v>
      </c>
      <c r="AN142" s="119">
        <f t="shared" si="297"/>
        <v>917.6</v>
      </c>
      <c r="AO142" s="119">
        <f t="shared" si="297"/>
        <v>929</v>
      </c>
      <c r="AP142" s="119">
        <f t="shared" si="297"/>
        <v>928.69999999999993</v>
      </c>
      <c r="AQ142" s="119">
        <f>+AQ141+AQ140+AQ139+AQ138+AQ136+AQ137</f>
        <v>1005.6</v>
      </c>
      <c r="AR142" s="119">
        <f t="shared" ref="AR142:AS142" si="298">+AR141+AR140+AR139+AR138+AR136+AR137</f>
        <v>1302.9000000000001</v>
      </c>
      <c r="AS142" s="119">
        <f t="shared" si="298"/>
        <v>1668.6999999999998</v>
      </c>
      <c r="AT142" s="119">
        <f t="shared" ref="AT142" si="299">+AT141+AT140+AT139+AT138+AT136+AT137</f>
        <v>1419.9</v>
      </c>
      <c r="AU142" s="168">
        <f>+AU141+AU140+AU139+AU138+AU136+AU137</f>
        <v>766.2</v>
      </c>
      <c r="AV142" s="120">
        <f t="shared" si="288"/>
        <v>1265.1599999999999</v>
      </c>
      <c r="AW142" s="142"/>
    </row>
    <row r="143" spans="1:49" ht="15.75" x14ac:dyDescent="0.25">
      <c r="A143" s="59" t="s">
        <v>17</v>
      </c>
      <c r="B143" s="80">
        <f t="shared" ref="B143:G143" si="300">B77/B68</f>
        <v>0.64594463331714425</v>
      </c>
      <c r="C143" s="80">
        <f t="shared" si="300"/>
        <v>0.63991991375327284</v>
      </c>
      <c r="D143" s="80">
        <f t="shared" si="300"/>
        <v>0.796899771005813</v>
      </c>
      <c r="E143" s="80">
        <f t="shared" si="300"/>
        <v>0.6159114857744995</v>
      </c>
      <c r="F143" s="80">
        <f t="shared" si="300"/>
        <v>0.6</v>
      </c>
      <c r="G143" s="80">
        <f t="shared" si="300"/>
        <v>0.59408896407602751</v>
      </c>
      <c r="H143" s="80">
        <f t="shared" ref="H143:M143" si="301">H77/H68</f>
        <v>0.5878422885103981</v>
      </c>
      <c r="I143" s="80">
        <f t="shared" si="301"/>
        <v>0.47322970639032819</v>
      </c>
      <c r="J143" s="80">
        <f t="shared" si="301"/>
        <v>0.51041813318316198</v>
      </c>
      <c r="K143" s="173">
        <f t="shared" si="301"/>
        <v>0.64200507614213187</v>
      </c>
      <c r="L143" s="173">
        <f t="shared" si="301"/>
        <v>0.69983542220534234</v>
      </c>
      <c r="M143" s="173">
        <f t="shared" si="301"/>
        <v>0.77199848503976765</v>
      </c>
      <c r="N143" s="173">
        <f t="shared" ref="N143" si="302">N77/N68</f>
        <v>0.69282536151279206</v>
      </c>
      <c r="O143" s="173">
        <f t="shared" ref="O143:P143" si="303">O77/O68</f>
        <v>0.6990944863224765</v>
      </c>
      <c r="P143" s="173">
        <f t="shared" si="303"/>
        <v>0.76705363139211358</v>
      </c>
      <c r="Q143" s="173">
        <f t="shared" ref="Q143" si="304">Q77/Q68</f>
        <v>0.73479109014199506</v>
      </c>
      <c r="R143" s="173">
        <f t="shared" ref="R143" si="305">R77/R68</f>
        <v>0.74824831525862456</v>
      </c>
      <c r="S143" s="80">
        <f t="shared" si="295"/>
        <v>0.73315261088182893</v>
      </c>
      <c r="T143" s="123" t="s">
        <v>160</v>
      </c>
      <c r="Z143" s="106"/>
      <c r="AA143" s="35">
        <f t="shared" ref="AA143:AQ143" si="306">+(AA142-Z142)/Z142</f>
        <v>0.25948704527610567</v>
      </c>
      <c r="AB143" s="35">
        <f t="shared" si="306"/>
        <v>0.10607792207792198</v>
      </c>
      <c r="AC143" s="35">
        <f t="shared" si="306"/>
        <v>-0.12408416306594018</v>
      </c>
      <c r="AD143" s="35">
        <f t="shared" si="306"/>
        <v>7.2707774798927691E-2</v>
      </c>
      <c r="AE143" s="35">
        <f t="shared" si="306"/>
        <v>-8.0375887233829935E-2</v>
      </c>
      <c r="AF143" s="35">
        <f t="shared" si="306"/>
        <v>-1.8480269594521145E-2</v>
      </c>
      <c r="AG143" s="106">
        <f t="shared" si="306"/>
        <v>7.2987041754347087E-2</v>
      </c>
      <c r="AH143" s="106">
        <f t="shared" si="306"/>
        <v>-0.1100330305532618</v>
      </c>
      <c r="AI143" s="106">
        <f t="shared" si="306"/>
        <v>0.1433542101600557</v>
      </c>
      <c r="AJ143" s="106">
        <f t="shared" si="306"/>
        <v>-2.5258673158855615E-2</v>
      </c>
      <c r="AK143" s="106">
        <f t="shared" si="306"/>
        <v>-4.5061921115620955E-2</v>
      </c>
      <c r="AL143" s="106">
        <f t="shared" si="306"/>
        <v>4.0322580645163033E-3</v>
      </c>
      <c r="AM143" s="106">
        <f t="shared" si="306"/>
        <v>2.789536524476276E-2</v>
      </c>
      <c r="AN143" s="106">
        <f t="shared" si="306"/>
        <v>-3.1045406546990471E-2</v>
      </c>
      <c r="AO143" s="106">
        <f t="shared" si="306"/>
        <v>1.2423714036617238E-2</v>
      </c>
      <c r="AP143" s="106">
        <f t="shared" si="306"/>
        <v>-3.2292787944033179E-4</v>
      </c>
      <c r="AQ143" s="106">
        <f t="shared" si="306"/>
        <v>8.2803919457306016E-2</v>
      </c>
      <c r="AR143" s="106">
        <f t="shared" ref="AR143" si="307">+(AR142-AQ142)/AQ142</f>
        <v>0.2956443914081146</v>
      </c>
      <c r="AS143" s="106">
        <f t="shared" ref="AS143:AT143" si="308">+(AS142-AR142)/AR142</f>
        <v>0.28075830838897819</v>
      </c>
      <c r="AT143" s="106">
        <f t="shared" si="308"/>
        <v>-0.14909810031761236</v>
      </c>
      <c r="AU143" s="186"/>
      <c r="AV143" s="106">
        <f t="shared" si="288"/>
        <v>0.10195711821146922</v>
      </c>
      <c r="AW143" s="142"/>
    </row>
    <row r="144" spans="1:49" ht="15" x14ac:dyDescent="0.2">
      <c r="A144" s="59" t="s">
        <v>16</v>
      </c>
      <c r="B144" s="80">
        <f t="shared" ref="B144:G144" si="309">B77/B34</f>
        <v>0.38681531749878817</v>
      </c>
      <c r="C144" s="80">
        <f t="shared" si="309"/>
        <v>0.37900209796588524</v>
      </c>
      <c r="D144" s="80">
        <f t="shared" si="309"/>
        <v>0.38423645320197042</v>
      </c>
      <c r="E144" s="80">
        <f t="shared" si="309"/>
        <v>0.35309219965264677</v>
      </c>
      <c r="F144" s="80">
        <f t="shared" si="309"/>
        <v>0.39532171765674301</v>
      </c>
      <c r="G144" s="80">
        <f t="shared" si="309"/>
        <v>0.37977099236641215</v>
      </c>
      <c r="H144" s="80">
        <f t="shared" ref="H144:M144" si="310">H77/H34</f>
        <v>0.35532677322109096</v>
      </c>
      <c r="I144" s="80">
        <f t="shared" si="310"/>
        <v>0.30651626736272958</v>
      </c>
      <c r="J144" s="80">
        <f t="shared" si="310"/>
        <v>0.3158238599242128</v>
      </c>
      <c r="K144" s="173">
        <f t="shared" si="310"/>
        <v>0.41574557258495298</v>
      </c>
      <c r="L144" s="173">
        <f t="shared" si="310"/>
        <v>0.42849391520037206</v>
      </c>
      <c r="M144" s="173">
        <f t="shared" si="310"/>
        <v>0.43146939495501851</v>
      </c>
      <c r="N144" s="173">
        <f t="shared" ref="N144" si="311">N77/N34</f>
        <v>0.40741104133961276</v>
      </c>
      <c r="O144" s="173">
        <f t="shared" ref="O144:P144" si="312">O77/O34</f>
        <v>0.44161600431253917</v>
      </c>
      <c r="P144" s="173">
        <f t="shared" si="312"/>
        <v>0.44618690180539672</v>
      </c>
      <c r="Q144" s="173">
        <f t="shared" ref="Q144" si="313">Q77/Q34</f>
        <v>0.42705724154296409</v>
      </c>
      <c r="R144" s="173">
        <f t="shared" ref="R144" si="314">R77/R34</f>
        <v>0.42209410639208478</v>
      </c>
      <c r="S144" s="80">
        <f t="shared" si="295"/>
        <v>0.43074811679110619</v>
      </c>
      <c r="T144" s="121"/>
      <c r="AV144" s="122"/>
    </row>
    <row r="145" spans="1:53" ht="15.75" x14ac:dyDescent="0.25">
      <c r="A145" s="59" t="s">
        <v>35</v>
      </c>
      <c r="B145" s="80">
        <f>(B113+B107)/B107</f>
        <v>2.7824561403508845</v>
      </c>
      <c r="C145" s="80">
        <f>(C113+C107)/C107</f>
        <v>3.6374045801526727</v>
      </c>
      <c r="D145" s="80">
        <f>(D113+D107)/D107</f>
        <v>3.8416988416988431</v>
      </c>
      <c r="E145" s="80">
        <f>(E113+E107)/E107</f>
        <v>4.0829875518672143</v>
      </c>
      <c r="F145" s="80">
        <f t="shared" ref="F145:J145" si="315">(F113+F107)/F107</f>
        <v>4.7982062780269041</v>
      </c>
      <c r="G145" s="80">
        <f t="shared" si="315"/>
        <v>4.0921985815602877</v>
      </c>
      <c r="H145" s="80">
        <f t="shared" si="315"/>
        <v>4.5017667844522977</v>
      </c>
      <c r="I145" s="80">
        <f t="shared" si="315"/>
        <v>4.1225165562913881</v>
      </c>
      <c r="J145" s="80">
        <f t="shared" si="315"/>
        <v>4.3043478260869552</v>
      </c>
      <c r="K145" s="173">
        <f>(K113+K107)/K107</f>
        <v>3.900552486187848</v>
      </c>
      <c r="L145" s="173">
        <f>(L113+L107)/L107</f>
        <v>4.7435897435897489</v>
      </c>
      <c r="M145" s="173">
        <f>(M113+M107)/M107</f>
        <v>5.8025078369906007</v>
      </c>
      <c r="N145" s="173">
        <f>(N113+N107)/N107</f>
        <v>5.5655976676384817</v>
      </c>
      <c r="O145" s="173">
        <f t="shared" ref="O145:P145" si="316">(O113+O107)/O107</f>
        <v>4.6891891891891921</v>
      </c>
      <c r="P145" s="173">
        <f t="shared" si="316"/>
        <v>3.6900584795321669</v>
      </c>
      <c r="Q145" s="173">
        <f t="shared" ref="Q145" si="317">(Q113+Q107)/Q107</f>
        <v>4.0381818181818208</v>
      </c>
      <c r="R145" s="173">
        <f t="shared" ref="R145" si="318">(R113+R107)/R107</f>
        <v>2.7254464285714266</v>
      </c>
      <c r="S145" s="80">
        <f t="shared" si="295"/>
        <v>4.757106998306452</v>
      </c>
      <c r="T145" s="124" t="s">
        <v>146</v>
      </c>
      <c r="AV145" s="122"/>
    </row>
    <row r="146" spans="1:53" ht="15" x14ac:dyDescent="0.2">
      <c r="A146" s="59"/>
      <c r="B146" s="80"/>
      <c r="C146" s="80"/>
      <c r="D146" s="80"/>
      <c r="E146" s="80"/>
      <c r="F146" s="80"/>
      <c r="G146" s="80"/>
      <c r="H146" s="80"/>
      <c r="I146" s="80"/>
      <c r="J146" s="80"/>
      <c r="K146" s="173"/>
      <c r="L146" s="173"/>
      <c r="M146" s="173"/>
      <c r="N146" s="173"/>
      <c r="O146" s="173"/>
      <c r="P146" s="173"/>
      <c r="Q146" s="173"/>
      <c r="R146" s="80"/>
      <c r="S146" s="80"/>
      <c r="T146" s="118" t="str">
        <f>+T136</f>
        <v xml:space="preserve">   Residential Sales</v>
      </c>
      <c r="Z146" s="106">
        <f t="shared" ref="Z146:AU146" si="319">+Z136/Z$142</f>
        <v>0.89073540957864439</v>
      </c>
      <c r="AA146" s="35">
        <f t="shared" si="319"/>
        <v>0.90161038961038953</v>
      </c>
      <c r="AB146" s="35">
        <f t="shared" si="319"/>
        <v>0.92842382115348498</v>
      </c>
      <c r="AC146" s="106">
        <f t="shared" si="319"/>
        <v>0.94005361930294906</v>
      </c>
      <c r="AD146" s="106">
        <f t="shared" si="319"/>
        <v>0.92642207337798654</v>
      </c>
      <c r="AE146" s="106">
        <f t="shared" si="319"/>
        <v>0.95010327209479295</v>
      </c>
      <c r="AF146" s="106">
        <f t="shared" si="319"/>
        <v>0.92258278879167133</v>
      </c>
      <c r="AG146" s="106">
        <f t="shared" si="319"/>
        <v>0.92175887696118919</v>
      </c>
      <c r="AH146" s="106">
        <f t="shared" si="319"/>
        <v>0.91440501043841338</v>
      </c>
      <c r="AI146" s="106">
        <f t="shared" si="319"/>
        <v>0.92341245688780682</v>
      </c>
      <c r="AJ146" s="106">
        <f t="shared" si="319"/>
        <v>0.91133312519512955</v>
      </c>
      <c r="AK146" s="106">
        <f t="shared" si="319"/>
        <v>0.92338709677419362</v>
      </c>
      <c r="AL146" s="106">
        <f t="shared" si="319"/>
        <v>0.92760230109627695</v>
      </c>
      <c r="AM146" s="106">
        <f t="shared" si="319"/>
        <v>0.92692713833157336</v>
      </c>
      <c r="AN146" s="106">
        <f t="shared" si="319"/>
        <v>0.72275501307759371</v>
      </c>
      <c r="AO146" s="106">
        <f t="shared" si="319"/>
        <v>0.73153928955866521</v>
      </c>
      <c r="AP146" s="106">
        <f t="shared" si="319"/>
        <v>0.70097986432647796</v>
      </c>
      <c r="AQ146" s="106">
        <f t="shared" si="319"/>
        <v>0.68526252983293556</v>
      </c>
      <c r="AR146" s="106">
        <f t="shared" ref="AR146:AS146" si="320">+AR136/AR$142</f>
        <v>0.68761992478317591</v>
      </c>
      <c r="AS146" s="106">
        <f t="shared" si="320"/>
        <v>0.69353388865583987</v>
      </c>
      <c r="AT146" s="106">
        <f t="shared" ref="AT146" si="321">+AT136/AT$142</f>
        <v>0.6899781674765828</v>
      </c>
      <c r="AU146" s="106">
        <f t="shared" si="319"/>
        <v>0.68428608718350292</v>
      </c>
      <c r="AV146" s="106">
        <f t="shared" ref="AV146:AV149" si="322">AVERAGE(AP146:AT146)</f>
        <v>0.69147487501500238</v>
      </c>
    </row>
    <row r="147" spans="1:53" ht="15.75" x14ac:dyDescent="0.25">
      <c r="A147" s="81" t="s">
        <v>69</v>
      </c>
      <c r="B147" s="80"/>
      <c r="C147" s="80"/>
      <c r="D147" s="80"/>
      <c r="E147" s="80"/>
      <c r="F147" s="80"/>
      <c r="G147" s="80"/>
      <c r="H147" s="80"/>
      <c r="I147" s="80"/>
      <c r="J147" s="80"/>
      <c r="K147" s="173"/>
      <c r="L147" s="173"/>
      <c r="M147" s="173"/>
      <c r="N147" s="173"/>
      <c r="O147" s="173"/>
      <c r="P147" s="173"/>
      <c r="Q147" s="173"/>
      <c r="R147" s="80"/>
      <c r="S147" s="80"/>
      <c r="T147" s="59" t="s">
        <v>274</v>
      </c>
      <c r="AL147" s="106">
        <f t="shared" ref="AL147:AO147" si="323">AL137/AL142</f>
        <v>0</v>
      </c>
      <c r="AM147" s="106">
        <f t="shared" si="323"/>
        <v>0</v>
      </c>
      <c r="AN147" s="106">
        <f t="shared" si="323"/>
        <v>0.20259372275501308</v>
      </c>
      <c r="AO147" s="106">
        <f t="shared" si="323"/>
        <v>0.193756727664155</v>
      </c>
      <c r="AP147" s="106">
        <f>AP137/AP142</f>
        <v>0.22816840745127601</v>
      </c>
      <c r="AQ147" s="106">
        <f>AQ137/AQ142</f>
        <v>0.22832140015910898</v>
      </c>
      <c r="AR147" s="106">
        <f t="shared" ref="AR147:AS147" si="324">AR137/AR142</f>
        <v>0.24061708496431036</v>
      </c>
      <c r="AS147" s="106">
        <f t="shared" si="324"/>
        <v>0.24983520105471327</v>
      </c>
      <c r="AT147" s="106">
        <f t="shared" ref="AT147:AU147" si="325">AT137/AT142</f>
        <v>0.24536939221071905</v>
      </c>
      <c r="AU147" s="106">
        <f t="shared" si="325"/>
        <v>0.2268337248760115</v>
      </c>
      <c r="AV147" s="106">
        <f t="shared" si="322"/>
        <v>0.23846229716802553</v>
      </c>
    </row>
    <row r="148" spans="1:53" ht="15" x14ac:dyDescent="0.2">
      <c r="A148" s="59" t="s">
        <v>137</v>
      </c>
      <c r="B148" s="33">
        <f t="shared" ref="B148:K148" si="326">(+B94-B97-B98)/B94</f>
        <v>0.31883900423959133</v>
      </c>
      <c r="C148" s="113">
        <f t="shared" si="326"/>
        <v>0.34411341233802201</v>
      </c>
      <c r="D148" s="113">
        <f t="shared" si="326"/>
        <v>0.33350536746490511</v>
      </c>
      <c r="E148" s="33">
        <f t="shared" si="326"/>
        <v>0.3814660171653908</v>
      </c>
      <c r="F148" s="33">
        <f t="shared" si="326"/>
        <v>0.34002840332724688</v>
      </c>
      <c r="G148" s="33">
        <f t="shared" si="326"/>
        <v>0.37059007180768033</v>
      </c>
      <c r="H148" s="33">
        <f t="shared" si="326"/>
        <v>0.39178291194420228</v>
      </c>
      <c r="I148" s="33">
        <f t="shared" si="326"/>
        <v>0.41159231520677297</v>
      </c>
      <c r="J148" s="33">
        <f t="shared" si="326"/>
        <v>0.41351636747624076</v>
      </c>
      <c r="K148" s="114">
        <f t="shared" si="326"/>
        <v>0.4217523975588493</v>
      </c>
      <c r="L148" s="114">
        <f t="shared" ref="L148:M148" si="327">(+L94-L97-L98)/L94</f>
        <v>0.44628632938643714</v>
      </c>
      <c r="M148" s="114">
        <f t="shared" si="327"/>
        <v>0.46441261979110582</v>
      </c>
      <c r="N148" s="114">
        <f t="shared" ref="N148" si="328">(+N94-N97-N98)/N94</f>
        <v>0.44252187748607796</v>
      </c>
      <c r="O148" s="114">
        <f t="shared" ref="O148:P148" si="329">(+O94-O97-O98)/O94</f>
        <v>0.36180218446601942</v>
      </c>
      <c r="P148" s="114">
        <f t="shared" si="329"/>
        <v>0.32441853476771454</v>
      </c>
      <c r="Q148" s="114">
        <f t="shared" ref="Q148" si="330">(+Q94-Q97-Q98)/Q94</f>
        <v>0.38835293289204981</v>
      </c>
      <c r="R148" s="114">
        <f t="shared" ref="R148" si="331">(+R94-R97-R98)/R94</f>
        <v>0.51057165231010182</v>
      </c>
      <c r="S148" s="113">
        <f>AVERAGE(M148:Q148)</f>
        <v>0.39630162988059359</v>
      </c>
      <c r="T148" s="118" t="str">
        <f>+T138</f>
        <v xml:space="preserve">   Industrial Sales</v>
      </c>
      <c r="Z148" s="106">
        <f t="shared" ref="Z148:AU148" si="332">+Z138/Z$142</f>
        <v>6.4250196283695368E-2</v>
      </c>
      <c r="AA148" s="35">
        <f t="shared" si="332"/>
        <v>4.1662337662337665E-2</v>
      </c>
      <c r="AB148" s="35">
        <f t="shared" si="332"/>
        <v>2.2074018410670675E-2</v>
      </c>
      <c r="AC148" s="106">
        <f t="shared" si="332"/>
        <v>1.061662198391421E-2</v>
      </c>
      <c r="AD148" s="106">
        <f t="shared" si="332"/>
        <v>1.1996401079676096E-2</v>
      </c>
      <c r="AE148" s="106">
        <f t="shared" si="332"/>
        <v>9.0227198608544418E-3</v>
      </c>
      <c r="AF148" s="106">
        <f t="shared" si="332"/>
        <v>2.9571381105327279E-2</v>
      </c>
      <c r="AG148" s="106">
        <f t="shared" si="332"/>
        <v>3.0656482246077622E-2</v>
      </c>
      <c r="AH148" s="106">
        <f t="shared" si="332"/>
        <v>3.1779169566225937E-2</v>
      </c>
      <c r="AI148" s="106">
        <f t="shared" si="332"/>
        <v>2.8504767701359304E-2</v>
      </c>
      <c r="AJ148" s="106">
        <f t="shared" si="332"/>
        <v>3.1116661463211567E-2</v>
      </c>
      <c r="AK148" s="106">
        <f t="shared" si="332"/>
        <v>2.5719267654751531E-2</v>
      </c>
      <c r="AL148" s="106">
        <f t="shared" si="332"/>
        <v>1.8777813958536848E-2</v>
      </c>
      <c r="AM148" s="106">
        <f t="shared" si="332"/>
        <v>1.2354804646251319E-2</v>
      </c>
      <c r="AN148" s="106">
        <f t="shared" si="332"/>
        <v>6.1028770706190059E-3</v>
      </c>
      <c r="AO148" s="106">
        <f t="shared" si="332"/>
        <v>4.6286329386437024E-3</v>
      </c>
      <c r="AP148" s="106">
        <f t="shared" si="332"/>
        <v>4.6301281361042319E-3</v>
      </c>
      <c r="AQ148" s="106">
        <f t="shared" si="332"/>
        <v>4.5743834526650751E-3</v>
      </c>
      <c r="AR148" s="106">
        <f t="shared" ref="AR148:AS148" si="333">+AR138/AR$142</f>
        <v>4.2981042290275535E-3</v>
      </c>
      <c r="AS148" s="106">
        <f t="shared" si="333"/>
        <v>4.4345898004434598E-3</v>
      </c>
      <c r="AT148" s="106">
        <f t="shared" ref="AT148" si="334">+AT138/AT$142</f>
        <v>4.155222198746391E-3</v>
      </c>
      <c r="AU148" s="106">
        <f t="shared" si="332"/>
        <v>3.7849125554685458E-3</v>
      </c>
      <c r="AV148" s="106">
        <f t="shared" si="322"/>
        <v>4.4184855633973424E-3</v>
      </c>
    </row>
    <row r="149" spans="1:53" ht="15" x14ac:dyDescent="0.2">
      <c r="A149" s="59" t="s">
        <v>138</v>
      </c>
      <c r="B149" s="33">
        <f t="shared" ref="B149:J149" si="335">+B116/B94</f>
        <v>2.8698771605609526E-2</v>
      </c>
      <c r="C149" s="113">
        <f t="shared" si="335"/>
        <v>4.8621109757448239E-2</v>
      </c>
      <c r="D149" s="113">
        <f t="shared" si="335"/>
        <v>4.75846407927333E-2</v>
      </c>
      <c r="E149" s="33">
        <f t="shared" si="335"/>
        <v>5.4627696590118152E-2</v>
      </c>
      <c r="F149" s="33">
        <f t="shared" si="335"/>
        <v>5.356055995130856E-2</v>
      </c>
      <c r="G149" s="114">
        <f t="shared" si="335"/>
        <v>5.7446144239775315E-2</v>
      </c>
      <c r="H149" s="114">
        <f t="shared" si="335"/>
        <v>7.007410636442897E-2</v>
      </c>
      <c r="I149" s="114">
        <f t="shared" si="335"/>
        <v>6.2086182568110201E-2</v>
      </c>
      <c r="J149" s="114">
        <f t="shared" si="335"/>
        <v>7.1277719112988344E-2</v>
      </c>
      <c r="K149" s="114">
        <f>+K116/K94</f>
        <v>9.0998256320837093E-2</v>
      </c>
      <c r="L149" s="114">
        <f>+L116/L94</f>
        <v>0.10096878363832097</v>
      </c>
      <c r="M149" s="114">
        <f>+M116/M94</f>
        <v>0.12641326585549709</v>
      </c>
      <c r="N149" s="114">
        <f>+N116/N94</f>
        <v>0.12201670644391398</v>
      </c>
      <c r="O149" s="114">
        <f t="shared" ref="O149:P149" si="336">+O116/O94</f>
        <v>9.7770024271844738E-2</v>
      </c>
      <c r="P149" s="114">
        <f t="shared" si="336"/>
        <v>8.6784061542160118E-2</v>
      </c>
      <c r="Q149" s="114">
        <f t="shared" ref="Q149" si="337">+Q116/Q94</f>
        <v>9.2247024857404519E-2</v>
      </c>
      <c r="R149" s="114">
        <f t="shared" ref="R149" si="338">+R116/R94</f>
        <v>8.1179848603497654E-2</v>
      </c>
      <c r="S149" s="113">
        <f t="shared" ref="S149:S154" si="339">AVERAGE(M149:Q149)</f>
        <v>0.10504621659416409</v>
      </c>
      <c r="T149" s="118" t="str">
        <f>+T139</f>
        <v xml:space="preserve">   Transportation for Industrial </v>
      </c>
      <c r="Z149" s="106">
        <f t="shared" ref="Z149:AU149" si="340">+Z139/Z$142</f>
        <v>8.3747710023554037E-3</v>
      </c>
      <c r="AA149" s="35">
        <f t="shared" si="340"/>
        <v>6.1298701298701302E-3</v>
      </c>
      <c r="AB149" s="35">
        <f t="shared" si="340"/>
        <v>6.2934435468720651E-3</v>
      </c>
      <c r="AC149" s="106">
        <f t="shared" si="340"/>
        <v>1.061662198391421E-2</v>
      </c>
      <c r="AD149" s="106">
        <f t="shared" si="340"/>
        <v>9.8970308907327803E-3</v>
      </c>
      <c r="AE149" s="106">
        <f t="shared" si="340"/>
        <v>1.2175236438743341E-2</v>
      </c>
      <c r="AF149" s="106">
        <f t="shared" si="340"/>
        <v>1.0743160925905415E-2</v>
      </c>
      <c r="AG149" s="106">
        <f t="shared" si="340"/>
        <v>1.166391412056152E-2</v>
      </c>
      <c r="AH149" s="106">
        <f t="shared" si="340"/>
        <v>1.3801902110879147E-2</v>
      </c>
      <c r="AI149" s="106">
        <f t="shared" si="340"/>
        <v>1.4607425441265977E-2</v>
      </c>
      <c r="AJ149" s="106">
        <f t="shared" si="340"/>
        <v>1.8628369237173481E-2</v>
      </c>
      <c r="AK149" s="106">
        <f t="shared" si="340"/>
        <v>2.3103748910200523E-2</v>
      </c>
      <c r="AL149" s="106">
        <f t="shared" si="340"/>
        <v>2.6701400195376097E-2</v>
      </c>
      <c r="AM149" s="106">
        <f t="shared" si="340"/>
        <v>2.7666314677930307E-2</v>
      </c>
      <c r="AN149" s="106">
        <f t="shared" si="340"/>
        <v>2.9860505666957277E-2</v>
      </c>
      <c r="AO149" s="106">
        <f t="shared" si="340"/>
        <v>3.4768568353067811E-2</v>
      </c>
      <c r="AP149" s="106">
        <f t="shared" si="340"/>
        <v>4.0917411435339723E-2</v>
      </c>
      <c r="AQ149" s="106">
        <f t="shared" si="340"/>
        <v>4.5843277645186954E-2</v>
      </c>
      <c r="AR149" s="106">
        <f t="shared" ref="AR149:AS149" si="341">+AR139/AR$142</f>
        <v>3.8606186200015345E-2</v>
      </c>
      <c r="AS149" s="106">
        <f t="shared" si="341"/>
        <v>3.6315694852280221E-2</v>
      </c>
      <c r="AT149" s="106">
        <f t="shared" ref="AT149" si="342">+AT139/AT$142</f>
        <v>4.3453764349602082E-2</v>
      </c>
      <c r="AU149" s="106">
        <f t="shared" si="340"/>
        <v>5.9122944400939695E-2</v>
      </c>
      <c r="AV149" s="106">
        <f t="shared" si="322"/>
        <v>4.1027266896484865E-2</v>
      </c>
    </row>
    <row r="150" spans="1:53" ht="15" x14ac:dyDescent="0.2">
      <c r="A150" s="59" t="s">
        <v>28</v>
      </c>
      <c r="B150" s="114" t="e">
        <f>(B116+(B107*(1-(B115/B113))))/((#REF!+B44)/2)</f>
        <v>#REF!</v>
      </c>
      <c r="C150" s="113">
        <f t="shared" ref="C150:N150" si="343">(C116+(C107*(1-(C115/C113))))/((B44+C44)/2)</f>
        <v>4.4026433939565394E-2</v>
      </c>
      <c r="D150" s="113">
        <f t="shared" si="343"/>
        <v>4.359754474808767E-2</v>
      </c>
      <c r="E150" s="33">
        <f t="shared" si="343"/>
        <v>4.0597064083085381E-2</v>
      </c>
      <c r="F150" s="33">
        <f t="shared" si="343"/>
        <v>3.9032857595048535E-2</v>
      </c>
      <c r="G150" s="33">
        <f t="shared" si="343"/>
        <v>3.8842652282016846E-2</v>
      </c>
      <c r="H150" s="114">
        <f t="shared" si="343"/>
        <v>3.9693714014364584E-2</v>
      </c>
      <c r="I150" s="114">
        <f t="shared" si="343"/>
        <v>3.2118472214470388E-2</v>
      </c>
      <c r="J150" s="114">
        <f t="shared" si="343"/>
        <v>3.379037779488013E-2</v>
      </c>
      <c r="K150" s="114">
        <f t="shared" si="343"/>
        <v>4.0733360799383014E-2</v>
      </c>
      <c r="L150" s="114">
        <f t="shared" si="343"/>
        <v>4.0725016535370619E-2</v>
      </c>
      <c r="M150" s="114">
        <f t="shared" si="343"/>
        <v>4.5032409859407013E-2</v>
      </c>
      <c r="N150" s="114">
        <f t="shared" si="343"/>
        <v>4.3426162908693743E-2</v>
      </c>
      <c r="O150" s="114">
        <f t="shared" ref="O150:Q150" si="344">(O116+(O107*(1-(O115/O113))))/((N44+O44)/2)</f>
        <v>4.1385214766709651E-2</v>
      </c>
      <c r="P150" s="114">
        <f t="shared" si="344"/>
        <v>4.4973521730739575E-2</v>
      </c>
      <c r="Q150" s="114">
        <f t="shared" si="344"/>
        <v>3.9407453711062843E-2</v>
      </c>
      <c r="R150" s="114">
        <f>(R116+(R107*(1-(R115/R113))))/((P44+R44)/2)</f>
        <v>2.2447340360278754E-2</v>
      </c>
      <c r="S150" s="113">
        <f t="shared" si="339"/>
        <v>4.2844952595322561E-2</v>
      </c>
      <c r="T150" s="118" t="str">
        <f>+T140</f>
        <v xml:space="preserve">   Service</v>
      </c>
      <c r="Z150" s="106">
        <f t="shared" ref="Z150:AL150" si="345">+Z140/Z$142</f>
        <v>6.935357236325569E-3</v>
      </c>
      <c r="AA150" s="35">
        <f t="shared" si="345"/>
        <v>6.8571428571428568E-3</v>
      </c>
      <c r="AB150" s="35">
        <f t="shared" si="345"/>
        <v>6.6691715198196506E-3</v>
      </c>
      <c r="AC150" s="106">
        <f t="shared" si="345"/>
        <v>6.3270777479892768E-3</v>
      </c>
      <c r="AD150" s="106">
        <f t="shared" si="345"/>
        <v>5.598320503848845E-3</v>
      </c>
      <c r="AE150" s="106">
        <f t="shared" si="345"/>
        <v>5.8702032829655399E-3</v>
      </c>
      <c r="AF150" s="106">
        <f t="shared" si="345"/>
        <v>5.3162033447779374E-3</v>
      </c>
      <c r="AG150" s="106">
        <f t="shared" si="345"/>
        <v>5.2642444260941369E-3</v>
      </c>
      <c r="AH150" s="106">
        <f t="shared" si="345"/>
        <v>5.2192066805845519E-3</v>
      </c>
      <c r="AI150" s="106">
        <f t="shared" si="345"/>
        <v>4.8691418137553257E-3</v>
      </c>
      <c r="AJ150" s="106">
        <f t="shared" si="345"/>
        <v>4.9953168904152351E-3</v>
      </c>
      <c r="AK150" s="106">
        <f t="shared" si="345"/>
        <v>5.1220575414123812E-3</v>
      </c>
      <c r="AL150" s="106">
        <f t="shared" si="345"/>
        <v>0</v>
      </c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35"/>
    </row>
    <row r="151" spans="1:53" ht="15" x14ac:dyDescent="0.2">
      <c r="A151" s="59" t="s">
        <v>68</v>
      </c>
      <c r="B151" s="114" t="e">
        <f>(B116+(B107*(1-(B115/B113))))/((#REF!+B61+#REF!+B72+#REF!+B77)/2)</f>
        <v>#REF!</v>
      </c>
      <c r="C151" s="113">
        <f t="shared" ref="C151:G151" si="346">(C116+(C107*(1-(C115/C113))))/((B61+C61+B72+C72+B77+C77)/2)</f>
        <v>7.7996975141630051E-2</v>
      </c>
      <c r="D151" s="113">
        <f t="shared" si="346"/>
        <v>8.241561784897028E-2</v>
      </c>
      <c r="E151" s="33">
        <f t="shared" si="346"/>
        <v>7.8908777942644767E-2</v>
      </c>
      <c r="F151" s="33">
        <f t="shared" si="346"/>
        <v>6.7961993684139479E-2</v>
      </c>
      <c r="G151" s="33">
        <f t="shared" si="346"/>
        <v>6.515754015679355E-2</v>
      </c>
      <c r="H151" s="114">
        <f t="shared" ref="H151:L151" si="347">(H116+(H107*(1-(H115/H113))))/((G61+H61+G77+H77)/2)</f>
        <v>7.217196440818463E-2</v>
      </c>
      <c r="I151" s="114">
        <f t="shared" si="347"/>
        <v>6.2075999995292841E-2</v>
      </c>
      <c r="J151" s="114">
        <f t="shared" si="347"/>
        <v>6.7769572298699232E-2</v>
      </c>
      <c r="K151" s="114">
        <f t="shared" si="347"/>
        <v>7.2959045546031123E-2</v>
      </c>
      <c r="L151" s="114">
        <f t="shared" si="347"/>
        <v>6.5881139839012157E-2</v>
      </c>
      <c r="M151" s="114">
        <f>(M116+(M107*(1-(M115/M113))))/((L61+M61+L77+M77)/2)</f>
        <v>7.4266635963089356E-2</v>
      </c>
      <c r="N151" s="114">
        <f>(N116+(N107*(1-(N115/N113))))/((M61+N61+M77+N77)/2)</f>
        <v>7.1058649476025235E-2</v>
      </c>
      <c r="O151" s="114">
        <f t="shared" ref="O151:Q151" si="348">(O116+(O107*(1-(O115/O113))))/((N61+O61+N77+O77)/2)</f>
        <v>6.6055164287268667E-2</v>
      </c>
      <c r="P151" s="114">
        <f t="shared" si="348"/>
        <v>7.1717131169928089E-2</v>
      </c>
      <c r="Q151" s="114">
        <f t="shared" si="348"/>
        <v>5.9741943207054407E-2</v>
      </c>
      <c r="R151" s="114">
        <f>(R116+(R107*(1-(R115/R113))))/((P61+R61+P77+R77)/2)</f>
        <v>3.3383273018088737E-2</v>
      </c>
      <c r="S151" s="113">
        <f t="shared" si="339"/>
        <v>6.856790482067314E-2</v>
      </c>
      <c r="T151" s="125" t="str">
        <f>+T141</f>
        <v xml:space="preserve">   Other</v>
      </c>
      <c r="U151" s="104"/>
      <c r="V151" s="104"/>
      <c r="W151" s="104"/>
      <c r="X151" s="104"/>
      <c r="Y151" s="104"/>
      <c r="Z151" s="107">
        <f t="shared" ref="Z151:AU151" si="349">+Z141/Z$142</f>
        <v>2.9704265898979322E-2</v>
      </c>
      <c r="AA151" s="130">
        <f t="shared" si="349"/>
        <v>4.3740259740259739E-2</v>
      </c>
      <c r="AB151" s="130">
        <f t="shared" si="349"/>
        <v>3.6539545369152736E-2</v>
      </c>
      <c r="AC151" s="107">
        <f t="shared" si="349"/>
        <v>3.2386058981233243E-2</v>
      </c>
      <c r="AD151" s="107">
        <f t="shared" si="349"/>
        <v>4.6086174147755669E-2</v>
      </c>
      <c r="AE151" s="107">
        <f t="shared" si="349"/>
        <v>2.2828568322643766E-2</v>
      </c>
      <c r="AF151" s="107">
        <f t="shared" si="349"/>
        <v>3.1786465832318089E-2</v>
      </c>
      <c r="AG151" s="107">
        <f t="shared" si="349"/>
        <v>3.0656482246077622E-2</v>
      </c>
      <c r="AH151" s="107">
        <f t="shared" si="349"/>
        <v>3.4794711203897009E-2</v>
      </c>
      <c r="AI151" s="107">
        <f t="shared" si="349"/>
        <v>2.8606208155812538E-2</v>
      </c>
      <c r="AJ151" s="107">
        <f t="shared" si="349"/>
        <v>3.3926527214070142E-2</v>
      </c>
      <c r="AK151" s="107">
        <f t="shared" si="349"/>
        <v>2.2667829119442026E-2</v>
      </c>
      <c r="AL151" s="107">
        <f t="shared" si="349"/>
        <v>2.691848474981005E-2</v>
      </c>
      <c r="AM151" s="107">
        <f t="shared" si="349"/>
        <v>3.3051742344244982E-2</v>
      </c>
      <c r="AN151" s="107">
        <f t="shared" si="349"/>
        <v>3.8687881429816912E-2</v>
      </c>
      <c r="AO151" s="107">
        <f t="shared" si="349"/>
        <v>3.5306781485468244E-2</v>
      </c>
      <c r="AP151" s="107">
        <f t="shared" si="349"/>
        <v>2.5304188650802199E-2</v>
      </c>
      <c r="AQ151" s="107">
        <f t="shared" si="349"/>
        <v>3.5998408910103426E-2</v>
      </c>
      <c r="AR151" s="107">
        <f t="shared" ref="AR151:AS151" si="350">+AR141/AR$142</f>
        <v>2.8858699823470717E-2</v>
      </c>
      <c r="AS151" s="107">
        <f t="shared" si="350"/>
        <v>1.5880625636723201E-2</v>
      </c>
      <c r="AT151" s="107">
        <f t="shared" ref="AT151" si="351">+AT141/AT$142</f>
        <v>1.7043453764349601E-2</v>
      </c>
      <c r="AU151" s="107">
        <f t="shared" si="349"/>
        <v>2.5972330984077266E-2</v>
      </c>
      <c r="AV151" s="106">
        <f t="shared" ref="AV151:AV152" si="352">AVERAGE(AP151:AT151)</f>
        <v>2.4617075357089825E-2</v>
      </c>
    </row>
    <row r="152" spans="1:53" ht="15" x14ac:dyDescent="0.2">
      <c r="A152" s="59" t="s">
        <v>197</v>
      </c>
      <c r="B152" s="114">
        <v>0.1061</v>
      </c>
      <c r="C152" s="33">
        <f t="shared" ref="C152:I152" si="353">(C116-C122)/((C77+B77)/2)</f>
        <v>0.10779619398403933</v>
      </c>
      <c r="D152" s="33">
        <f t="shared" si="353"/>
        <v>0.10623343703191618</v>
      </c>
      <c r="E152" s="33">
        <f t="shared" si="353"/>
        <v>0.1023913043478258</v>
      </c>
      <c r="F152" s="33">
        <f t="shared" si="353"/>
        <v>0.10115911485774494</v>
      </c>
      <c r="G152" s="33">
        <f t="shared" si="353"/>
        <v>9.4093582204040072E-2</v>
      </c>
      <c r="H152" s="33">
        <f t="shared" si="353"/>
        <v>0.10526315789473688</v>
      </c>
      <c r="I152" s="33">
        <f t="shared" si="353"/>
        <v>8.921469234968403E-2</v>
      </c>
      <c r="J152" s="33">
        <f>(J116-J122)/((J77+I77)/2)</f>
        <v>9.7635061835539091E-2</v>
      </c>
      <c r="K152" s="114">
        <f>(K116-K122)/((K77+J77)/2)</f>
        <v>9.6148310207841689E-2</v>
      </c>
      <c r="L152" s="114">
        <f>(L116-L122)/((L77+K77)/2)</f>
        <v>8.8599225465193346E-2</v>
      </c>
      <c r="M152" s="114">
        <f>(M116-M122)/((M77+L77)/2)</f>
        <v>0.10083311861204171</v>
      </c>
      <c r="N152" s="114">
        <f t="shared" ref="N152:Q152" si="354">(N116-N122)/((N77+M77)/2)</f>
        <v>9.9404544902175165E-2</v>
      </c>
      <c r="O152" s="114">
        <f t="shared" si="354"/>
        <v>9.476895930595898E-2</v>
      </c>
      <c r="P152" s="114">
        <f t="shared" si="354"/>
        <v>9.396147839666856E-2</v>
      </c>
      <c r="Q152" s="114">
        <f t="shared" si="354"/>
        <v>8.1399322707925659E-2</v>
      </c>
      <c r="R152" s="114"/>
      <c r="S152" s="113">
        <f t="shared" si="339"/>
        <v>9.4073484784954017E-2</v>
      </c>
      <c r="T152" s="118" t="str">
        <f>+T142</f>
        <v xml:space="preserve">      Total Revenue</v>
      </c>
      <c r="Z152" s="106">
        <f t="shared" ref="Z152:AU152" si="355">+Z142/Z$142</f>
        <v>1</v>
      </c>
      <c r="AA152" s="35">
        <f t="shared" si="355"/>
        <v>1</v>
      </c>
      <c r="AB152" s="35">
        <f t="shared" si="355"/>
        <v>1</v>
      </c>
      <c r="AC152" s="106">
        <f t="shared" si="355"/>
        <v>1</v>
      </c>
      <c r="AD152" s="106">
        <f t="shared" si="355"/>
        <v>1</v>
      </c>
      <c r="AE152" s="106">
        <f t="shared" si="355"/>
        <v>1</v>
      </c>
      <c r="AF152" s="106">
        <f t="shared" si="355"/>
        <v>1</v>
      </c>
      <c r="AG152" s="106">
        <f t="shared" si="355"/>
        <v>1</v>
      </c>
      <c r="AH152" s="106">
        <f t="shared" si="355"/>
        <v>1</v>
      </c>
      <c r="AI152" s="106">
        <f t="shared" si="355"/>
        <v>1</v>
      </c>
      <c r="AJ152" s="106">
        <f t="shared" si="355"/>
        <v>1</v>
      </c>
      <c r="AK152" s="106">
        <f t="shared" si="355"/>
        <v>1</v>
      </c>
      <c r="AL152" s="106">
        <f t="shared" si="355"/>
        <v>1</v>
      </c>
      <c r="AM152" s="106">
        <f t="shared" si="355"/>
        <v>1</v>
      </c>
      <c r="AN152" s="106">
        <f t="shared" si="355"/>
        <v>1</v>
      </c>
      <c r="AO152" s="106">
        <f t="shared" si="355"/>
        <v>1</v>
      </c>
      <c r="AP152" s="106">
        <f t="shared" si="355"/>
        <v>1</v>
      </c>
      <c r="AQ152" s="106">
        <f t="shared" si="355"/>
        <v>1</v>
      </c>
      <c r="AR152" s="106">
        <f t="shared" ref="AR152:AS152" si="356">+AR142/AR$142</f>
        <v>1</v>
      </c>
      <c r="AS152" s="106">
        <f t="shared" si="356"/>
        <v>1</v>
      </c>
      <c r="AT152" s="106">
        <f t="shared" ref="AT152" si="357">+AT142/AT$142</f>
        <v>1</v>
      </c>
      <c r="AU152" s="106">
        <f t="shared" si="355"/>
        <v>1</v>
      </c>
      <c r="AV152" s="106">
        <f t="shared" si="352"/>
        <v>1</v>
      </c>
    </row>
    <row r="153" spans="1:53" ht="16.5" thickBot="1" x14ac:dyDescent="0.3">
      <c r="A153" s="59" t="s">
        <v>196</v>
      </c>
      <c r="B153" s="35">
        <v>9.7299999999999998E-2</v>
      </c>
      <c r="C153" s="35">
        <v>9.2700000000000005E-2</v>
      </c>
      <c r="D153" s="35">
        <v>9.8400000000000001E-2</v>
      </c>
      <c r="E153" s="297">
        <v>8.6199999999999999E-2</v>
      </c>
      <c r="F153" s="298">
        <v>8.4400000000000003E-2</v>
      </c>
      <c r="G153" s="298">
        <v>9.5299999999999996E-2</v>
      </c>
      <c r="H153" s="298">
        <v>9.5899999999999999E-2</v>
      </c>
      <c r="I153" s="298">
        <v>9.5100000000000004E-2</v>
      </c>
      <c r="J153" s="298">
        <v>8.2600000000000007E-2</v>
      </c>
      <c r="K153" s="298">
        <v>9.7900000000000001E-2</v>
      </c>
      <c r="L153" s="298">
        <v>8.1799999999999998E-2</v>
      </c>
      <c r="M153" s="298">
        <v>9.5200000000000007E-2</v>
      </c>
      <c r="N153" s="298">
        <v>8.8999999999999996E-2</v>
      </c>
      <c r="O153" s="298">
        <v>9.0700000000000003E-2</v>
      </c>
      <c r="P153" s="298">
        <v>9.11E-2</v>
      </c>
      <c r="Q153" s="298"/>
      <c r="R153" s="298">
        <v>9.11E-2</v>
      </c>
      <c r="S153" s="113">
        <f t="shared" si="339"/>
        <v>9.1500000000000012E-2</v>
      </c>
    </row>
    <row r="154" spans="1:53" ht="18.75" thickBot="1" x14ac:dyDescent="0.3">
      <c r="A154" s="59" t="s">
        <v>245</v>
      </c>
      <c r="E154" s="1"/>
      <c r="F154" s="1"/>
      <c r="G154" s="1"/>
      <c r="H154" s="1"/>
      <c r="I154" s="114">
        <f t="shared" ref="I154:N154" si="358">(I119)/((I77+H77)/2)</f>
        <v>0.1140138813070263</v>
      </c>
      <c r="J154" s="114">
        <f t="shared" si="358"/>
        <v>0.11181022636869885</v>
      </c>
      <c r="K154" s="114">
        <f t="shared" si="358"/>
        <v>9.6148310207841689E-2</v>
      </c>
      <c r="L154" s="114">
        <f t="shared" si="358"/>
        <v>8.8599225465193346E-2</v>
      </c>
      <c r="M154" s="114">
        <f t="shared" si="358"/>
        <v>0.10083311861204171</v>
      </c>
      <c r="N154" s="114">
        <f t="shared" si="358"/>
        <v>9.9404544902175165E-2</v>
      </c>
      <c r="O154" s="114">
        <f>(O119)/((O77+N77)/2)</f>
        <v>9.476895930595898E-2</v>
      </c>
      <c r="P154" s="114">
        <f t="shared" ref="P154:Q154" si="359">(P119)/((P77+O77)/2)</f>
        <v>9.396147839666856E-2</v>
      </c>
      <c r="Q154" s="114">
        <f t="shared" si="359"/>
        <v>8.1399322707925659E-2</v>
      </c>
      <c r="R154" s="114"/>
      <c r="S154" s="113">
        <f t="shared" si="339"/>
        <v>9.4073484784954017E-2</v>
      </c>
      <c r="T154" s="315" t="s">
        <v>147</v>
      </c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7"/>
    </row>
    <row r="155" spans="1:53" ht="15.75" x14ac:dyDescent="0.25">
      <c r="K155" s="299"/>
      <c r="L155" s="299"/>
      <c r="M155" s="299"/>
      <c r="N155" s="299"/>
      <c r="O155" s="299"/>
      <c r="P155" s="299"/>
      <c r="Q155" s="299"/>
      <c r="T155" s="124" t="s">
        <v>171</v>
      </c>
      <c r="AV155" s="122"/>
    </row>
    <row r="156" spans="1:53" ht="15.75" x14ac:dyDescent="0.25">
      <c r="A156" s="81" t="s">
        <v>1</v>
      </c>
      <c r="B156" s="80"/>
      <c r="C156" s="98"/>
      <c r="D156" s="80"/>
      <c r="E156" s="80"/>
      <c r="F156" s="80"/>
      <c r="G156" s="80"/>
      <c r="H156" s="80"/>
      <c r="I156" s="80"/>
      <c r="J156" s="80"/>
      <c r="K156" s="284"/>
      <c r="L156" s="284"/>
      <c r="M156" s="284"/>
      <c r="N156" s="284"/>
      <c r="O156" s="284"/>
      <c r="P156" s="284"/>
      <c r="Q156" s="284"/>
      <c r="R156" s="80"/>
      <c r="S156" s="80"/>
      <c r="T156" s="118" t="str">
        <f>+T146</f>
        <v xml:space="preserve">   Residential Sales</v>
      </c>
      <c r="Z156" s="119">
        <v>93</v>
      </c>
      <c r="AA156" s="119">
        <v>96.3</v>
      </c>
      <c r="AB156" s="119">
        <v>102.2</v>
      </c>
      <c r="AC156" s="119">
        <v>106.1</v>
      </c>
      <c r="AD156" s="119">
        <v>112.3</v>
      </c>
      <c r="AE156" s="119">
        <v>109.4</v>
      </c>
      <c r="AF156" s="119">
        <v>105.8</v>
      </c>
      <c r="AG156" s="119">
        <v>113.3</v>
      </c>
      <c r="AH156" s="119">
        <v>96.2</v>
      </c>
      <c r="AI156" s="119">
        <v>114.9</v>
      </c>
      <c r="AJ156" s="119">
        <v>98</v>
      </c>
      <c r="AK156" s="119">
        <v>94</v>
      </c>
      <c r="AL156" s="168">
        <v>101.4</v>
      </c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20"/>
    </row>
    <row r="157" spans="1:53" ht="15" x14ac:dyDescent="0.2">
      <c r="A157" s="59" t="s">
        <v>30</v>
      </c>
      <c r="B157" s="80" t="e">
        <f>B94/((#REF!+B11)/2)</f>
        <v>#REF!</v>
      </c>
      <c r="C157" s="80">
        <f t="shared" ref="C157:N157" si="360">C94/((B11+C11)/2)</f>
        <v>151.74789915966389</v>
      </c>
      <c r="D157" s="80">
        <f t="shared" si="360"/>
        <v>199.75257731958766</v>
      </c>
      <c r="E157" s="80">
        <f t="shared" si="360"/>
        <v>269.43749999999994</v>
      </c>
      <c r="F157" s="80">
        <f t="shared" si="360"/>
        <v>193.29411764705878</v>
      </c>
      <c r="G157" s="173">
        <f t="shared" si="360"/>
        <v>67.195804195804186</v>
      </c>
      <c r="H157" s="173">
        <f t="shared" si="360"/>
        <v>60.567656765676567</v>
      </c>
      <c r="I157" s="173">
        <f t="shared" si="360"/>
        <v>101.80110497237568</v>
      </c>
      <c r="J157" s="173">
        <f t="shared" si="360"/>
        <v>132.44755244755245</v>
      </c>
      <c r="K157" s="173">
        <f t="shared" si="360"/>
        <v>137.98496240601503</v>
      </c>
      <c r="L157" s="173">
        <f t="shared" si="360"/>
        <v>118.343949044586</v>
      </c>
      <c r="M157" s="173">
        <f t="shared" si="360"/>
        <v>111.89156626506023</v>
      </c>
      <c r="N157" s="173">
        <f t="shared" si="360"/>
        <v>173.37931034482759</v>
      </c>
      <c r="O157" s="173">
        <f t="shared" ref="O157" si="361">O94/((N11+O11)/2)</f>
        <v>142.52972972972975</v>
      </c>
      <c r="P157" s="173">
        <f>P94/((O11+P11)/2)</f>
        <v>100.84242424242424</v>
      </c>
      <c r="Q157" s="173">
        <f>Q94/((P11+Q11)/2)</f>
        <v>20.611030478955005</v>
      </c>
      <c r="R157" s="173"/>
      <c r="S157" s="80">
        <f t="shared" ref="S157:S161" si="362">AVERAGE(M157:Q157)</f>
        <v>109.85081221219937</v>
      </c>
      <c r="T157" s="118" t="str">
        <f>+T148</f>
        <v xml:space="preserve">   Industrial Sales</v>
      </c>
      <c r="Z157" s="119">
        <v>8.8000000000000007</v>
      </c>
      <c r="AA157" s="119">
        <v>5.7</v>
      </c>
      <c r="AB157" s="119">
        <v>3.1</v>
      </c>
      <c r="AC157" s="119">
        <v>1.6</v>
      </c>
      <c r="AD157" s="119">
        <v>1.7</v>
      </c>
      <c r="AE157" s="119">
        <v>1.3</v>
      </c>
      <c r="AF157" s="119">
        <v>4.5</v>
      </c>
      <c r="AG157" s="119">
        <v>5</v>
      </c>
      <c r="AH157" s="119">
        <v>4.7</v>
      </c>
      <c r="AI157" s="119">
        <v>4.4000000000000004</v>
      </c>
      <c r="AJ157" s="119">
        <v>4.3</v>
      </c>
      <c r="AK157" s="119">
        <v>3.3</v>
      </c>
      <c r="AL157" s="168">
        <v>2.5</v>
      </c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240"/>
      <c r="AW157" s="100">
        <f>(AI161-AH161)/AH161</f>
        <v>0.1282995702885206</v>
      </c>
    </row>
    <row r="158" spans="1:53" ht="15.75" x14ac:dyDescent="0.25">
      <c r="A158" s="59" t="s">
        <v>29</v>
      </c>
      <c r="B158" s="80" t="e">
        <f>B94/((#REF!+B13)/2)</f>
        <v>#REF!</v>
      </c>
      <c r="C158" s="173">
        <f t="shared" ref="C158:N158" si="363">C94/((B13+B14+B15+C13+C14+C15)/2)</f>
        <v>5.3394441159077477</v>
      </c>
      <c r="D158" s="173">
        <f t="shared" si="363"/>
        <v>5.9728729963008629</v>
      </c>
      <c r="E158" s="173">
        <f t="shared" si="363"/>
        <v>5.2238715540745222</v>
      </c>
      <c r="F158" s="173">
        <f t="shared" si="363"/>
        <v>5.095890410958904</v>
      </c>
      <c r="G158" s="173">
        <f t="shared" si="363"/>
        <v>4.6286127167630058</v>
      </c>
      <c r="H158" s="173">
        <f t="shared" si="363"/>
        <v>4.13986013986014</v>
      </c>
      <c r="I158" s="173">
        <f t="shared" si="363"/>
        <v>4.5801640566741231</v>
      </c>
      <c r="J158" s="173">
        <f t="shared" si="363"/>
        <v>5.5771495877502941</v>
      </c>
      <c r="K158" s="173">
        <f t="shared" si="363"/>
        <v>5.6294478527607366</v>
      </c>
      <c r="L158" s="173">
        <f t="shared" si="363"/>
        <v>5.8853341780171036</v>
      </c>
      <c r="M158" s="173">
        <f t="shared" si="363"/>
        <v>5.3190148911798394</v>
      </c>
      <c r="N158" s="173">
        <f t="shared" si="363"/>
        <v>5.2759706190975866</v>
      </c>
      <c r="O158" s="173">
        <f t="shared" ref="O158" si="364">O94/((N13+N14+N15+O13+O14+O15)/2)</f>
        <v>5.1620986687548944</v>
      </c>
      <c r="P158" s="173">
        <f>P94/((O13+O14+O15+P13+P14+P15)/2)</f>
        <v>5.3424305667041256</v>
      </c>
      <c r="Q158" s="173">
        <f>Q94/((P13+P14+P15+Q13+Q14+Q15)/2)</f>
        <v>5.4233339698300549</v>
      </c>
      <c r="R158" s="173"/>
      <c r="S158" s="80">
        <f t="shared" si="362"/>
        <v>5.3045697431132997</v>
      </c>
      <c r="T158" s="123" t="s">
        <v>225</v>
      </c>
      <c r="U158" s="116"/>
      <c r="V158" s="116"/>
      <c r="W158" s="116"/>
      <c r="X158" s="116"/>
      <c r="Y158" s="116"/>
      <c r="Z158" s="178">
        <f t="shared" ref="Z158:AE158" si="365">+Z157+Z156</f>
        <v>101.8</v>
      </c>
      <c r="AA158" s="178">
        <f t="shared" si="365"/>
        <v>102</v>
      </c>
      <c r="AB158" s="178">
        <f t="shared" si="365"/>
        <v>105.3</v>
      </c>
      <c r="AC158" s="178">
        <f t="shared" si="365"/>
        <v>107.69999999999999</v>
      </c>
      <c r="AD158" s="178">
        <f t="shared" si="365"/>
        <v>114</v>
      </c>
      <c r="AE158" s="178">
        <f t="shared" si="365"/>
        <v>110.7</v>
      </c>
      <c r="AF158" s="178">
        <f t="shared" ref="AF158:AU158" si="366">+AF157+AF156</f>
        <v>110.3</v>
      </c>
      <c r="AG158" s="178">
        <f t="shared" si="366"/>
        <v>118.3</v>
      </c>
      <c r="AH158" s="178">
        <f t="shared" si="366"/>
        <v>100.9</v>
      </c>
      <c r="AI158" s="178">
        <f t="shared" si="366"/>
        <v>119.30000000000001</v>
      </c>
      <c r="AJ158" s="178">
        <f t="shared" si="366"/>
        <v>102.3</v>
      </c>
      <c r="AK158" s="178">
        <f>+AK157+AK156</f>
        <v>97.3</v>
      </c>
      <c r="AL158" s="193">
        <f>+AL157+AL156</f>
        <v>103.9</v>
      </c>
      <c r="AM158" s="193">
        <f>+AM157+AM156</f>
        <v>0</v>
      </c>
      <c r="AN158" s="193"/>
      <c r="AO158" s="193"/>
      <c r="AP158" s="193"/>
      <c r="AQ158" s="193"/>
      <c r="AR158" s="193"/>
      <c r="AS158" s="193"/>
      <c r="AT158" s="193"/>
      <c r="AU158" s="193">
        <f t="shared" si="366"/>
        <v>0</v>
      </c>
      <c r="AV158" s="120"/>
      <c r="AW158" s="142">
        <f>+AE160-AD160</f>
        <v>-4.2000000000000028</v>
      </c>
      <c r="AX158" s="142">
        <f>+AF160-AE160</f>
        <v>1.2999999999999972</v>
      </c>
      <c r="AY158" s="142">
        <f>+AG160-AF160</f>
        <v>-6.7999999999999972</v>
      </c>
      <c r="AZ158" s="142">
        <f>+AH160-AG160</f>
        <v>9.5</v>
      </c>
      <c r="BA158" s="142"/>
    </row>
    <row r="159" spans="1:53" ht="15" x14ac:dyDescent="0.2">
      <c r="A159" s="59" t="s">
        <v>33</v>
      </c>
      <c r="B159" s="80" t="e">
        <f>B94/((#REF!+B24-#REF!-B59)/2)</f>
        <v>#REF!</v>
      </c>
      <c r="C159" s="80">
        <f t="shared" ref="C159:N159" si="367">C94/((B24+C24-B59-C59)/2)</f>
        <v>-18.407747196737997</v>
      </c>
      <c r="D159" s="80">
        <f t="shared" si="367"/>
        <v>-8.2451063829787241</v>
      </c>
      <c r="E159" s="80">
        <f t="shared" si="367"/>
        <v>-5.69296797622978</v>
      </c>
      <c r="F159" s="80">
        <f t="shared" si="367"/>
        <v>-28.450216450216466</v>
      </c>
      <c r="G159" s="173">
        <f t="shared" si="367"/>
        <v>36.536121673003748</v>
      </c>
      <c r="H159" s="173">
        <f t="shared" si="367"/>
        <v>-19.882990249187454</v>
      </c>
      <c r="I159" s="173">
        <f t="shared" si="367"/>
        <v>-6.3801939058171726</v>
      </c>
      <c r="J159" s="173">
        <f t="shared" si="367"/>
        <v>-4.0530708324416871</v>
      </c>
      <c r="K159" s="173">
        <f t="shared" si="367"/>
        <v>-7.3762057877813501</v>
      </c>
      <c r="L159" s="173">
        <f t="shared" si="367"/>
        <v>-130.02099370188975</v>
      </c>
      <c r="M159" s="173">
        <f t="shared" si="367"/>
        <v>-8.7287936463179641</v>
      </c>
      <c r="N159" s="173">
        <f t="shared" si="367"/>
        <v>-5.5991091314031145</v>
      </c>
      <c r="O159" s="173">
        <f t="shared" ref="O159:Q159" si="368">O94/((N24+O24-N59-O59)/2)</f>
        <v>-20.283076923076869</v>
      </c>
      <c r="P159" s="173">
        <f t="shared" si="368"/>
        <v>-52.571879936808791</v>
      </c>
      <c r="Q159" s="173">
        <f t="shared" si="368"/>
        <v>-18.010145846544063</v>
      </c>
      <c r="R159" s="173"/>
      <c r="S159" s="80">
        <f t="shared" si="362"/>
        <v>-21.03860109683016</v>
      </c>
      <c r="T159" s="118" t="s">
        <v>246</v>
      </c>
      <c r="AG159" s="106">
        <f t="shared" ref="AG159:AL159" si="369">+(AG158-AF158)/AF158</f>
        <v>7.2529465095194923E-2</v>
      </c>
      <c r="AH159" s="106">
        <f t="shared" si="369"/>
        <v>-0.14708368554522394</v>
      </c>
      <c r="AI159" s="106">
        <f t="shared" si="369"/>
        <v>0.18235877106045595</v>
      </c>
      <c r="AJ159" s="106">
        <f t="shared" si="369"/>
        <v>-0.14249790444258184</v>
      </c>
      <c r="AK159" s="106">
        <f t="shared" si="369"/>
        <v>-4.8875855327468229E-2</v>
      </c>
      <c r="AL159" s="106">
        <f t="shared" si="369"/>
        <v>6.7831449126413243E-2</v>
      </c>
      <c r="AM159" s="186"/>
      <c r="AN159" s="186"/>
      <c r="AO159" s="186"/>
      <c r="AP159" s="186"/>
      <c r="AQ159" s="186"/>
      <c r="AR159" s="186"/>
      <c r="AS159" s="186"/>
      <c r="AT159" s="186"/>
      <c r="AU159" s="234"/>
      <c r="AV159" s="183"/>
      <c r="AW159" s="100">
        <f>+AW158/AD160</f>
        <v>-6.7524115755627057E-2</v>
      </c>
      <c r="AX159" s="100">
        <f>+AX158/AE160</f>
        <v>2.2413793103448227E-2</v>
      </c>
      <c r="AY159" s="100">
        <f>+AY158/AF160</f>
        <v>-0.11467116357504212</v>
      </c>
      <c r="AZ159" s="100">
        <f>+AZ158/AG160</f>
        <v>0.18095238095238095</v>
      </c>
      <c r="BA159" s="100"/>
    </row>
    <row r="160" spans="1:53" ht="15" x14ac:dyDescent="0.2">
      <c r="A160" s="59" t="s">
        <v>31</v>
      </c>
      <c r="B160" s="80" t="e">
        <f>B94/((#REF!+B34)/2)</f>
        <v>#REF!</v>
      </c>
      <c r="C160" s="80">
        <f t="shared" ref="C160:N160" si="370">C94/((B34+C34)/2)</f>
        <v>0.84866998778080649</v>
      </c>
      <c r="D160" s="80">
        <f t="shared" si="370"/>
        <v>0.85217926727360704</v>
      </c>
      <c r="E160" s="80">
        <f t="shared" si="370"/>
        <v>0.68929128192828881</v>
      </c>
      <c r="F160" s="80">
        <f t="shared" si="370"/>
        <v>0.70867330433844944</v>
      </c>
      <c r="G160" s="173">
        <f t="shared" si="370"/>
        <v>0.63429929368275129</v>
      </c>
      <c r="H160" s="173">
        <f t="shared" si="370"/>
        <v>0.55109456172487303</v>
      </c>
      <c r="I160" s="173">
        <f t="shared" si="370"/>
        <v>0.47203791469194312</v>
      </c>
      <c r="J160" s="173">
        <f t="shared" si="370"/>
        <v>0.42645171458807113</v>
      </c>
      <c r="K160" s="173">
        <f t="shared" si="370"/>
        <v>0.3880243572395129</v>
      </c>
      <c r="L160" s="173">
        <f t="shared" si="370"/>
        <v>0.3705698159117653</v>
      </c>
      <c r="M160" s="173">
        <f t="shared" si="370"/>
        <v>0.34302916135704659</v>
      </c>
      <c r="N160" s="173">
        <f t="shared" si="370"/>
        <v>0.34133840226744283</v>
      </c>
      <c r="O160" s="173">
        <f t="shared" ref="O160:Q160" si="371">O94/((N34+O34)/2)</f>
        <v>0.41221254709459565</v>
      </c>
      <c r="P160" s="173">
        <f t="shared" si="371"/>
        <v>0.48070145028023342</v>
      </c>
      <c r="Q160" s="173">
        <f t="shared" si="371"/>
        <v>0.38503877230085137</v>
      </c>
      <c r="R160" s="173"/>
      <c r="S160" s="80">
        <f t="shared" si="362"/>
        <v>0.39246406666003397</v>
      </c>
      <c r="T160" s="118" t="str">
        <f>+T149</f>
        <v xml:space="preserve">   Transportation for Industrial </v>
      </c>
      <c r="Z160" s="119">
        <v>34.299999999999997</v>
      </c>
      <c r="AA160" s="119">
        <v>31.2</v>
      </c>
      <c r="AB160" s="119">
        <v>35.5</v>
      </c>
      <c r="AC160" s="119">
        <v>53.8</v>
      </c>
      <c r="AD160" s="119">
        <v>62.2</v>
      </c>
      <c r="AE160" s="119">
        <v>58</v>
      </c>
      <c r="AF160" s="119">
        <v>59.3</v>
      </c>
      <c r="AG160" s="119">
        <v>52.5</v>
      </c>
      <c r="AH160" s="119">
        <v>62</v>
      </c>
      <c r="AI160" s="119">
        <v>64.5</v>
      </c>
      <c r="AJ160" s="119">
        <v>81.3</v>
      </c>
      <c r="AK160" s="119">
        <v>77.2</v>
      </c>
      <c r="AL160" s="168">
        <v>89.461851999999993</v>
      </c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20"/>
    </row>
    <row r="161" spans="1:51" ht="15.75" x14ac:dyDescent="0.25">
      <c r="A161" s="59" t="s">
        <v>32</v>
      </c>
      <c r="B161" s="80" t="e">
        <f>B94/((#REF!+B44)/2)</f>
        <v>#REF!</v>
      </c>
      <c r="C161" s="80">
        <f t="shared" ref="C161:N161" si="372">C94/((B44+C44)/2)</f>
        <v>0.65655904595695191</v>
      </c>
      <c r="D161" s="80">
        <f t="shared" si="372"/>
        <v>0.67771948233648138</v>
      </c>
      <c r="E161" s="80">
        <f t="shared" si="372"/>
        <v>0.56114546046208913</v>
      </c>
      <c r="F161" s="80">
        <f t="shared" si="372"/>
        <v>0.57687918775784885</v>
      </c>
      <c r="G161" s="173">
        <f t="shared" si="372"/>
        <v>0.51092678258095381</v>
      </c>
      <c r="H161" s="173">
        <f t="shared" si="372"/>
        <v>0.44062424969987984</v>
      </c>
      <c r="I161" s="173">
        <f t="shared" si="372"/>
        <v>0.3918341307814992</v>
      </c>
      <c r="J161" s="173">
        <f t="shared" si="372"/>
        <v>0.36392982725822881</v>
      </c>
      <c r="K161" s="173">
        <f t="shared" si="372"/>
        <v>0.33286779242921666</v>
      </c>
      <c r="L161" s="173">
        <f t="shared" si="372"/>
        <v>0.31831365716351351</v>
      </c>
      <c r="M161" s="173">
        <f t="shared" si="372"/>
        <v>0.29483896877792787</v>
      </c>
      <c r="N161" s="173">
        <f t="shared" si="372"/>
        <v>0.29195639235269349</v>
      </c>
      <c r="O161" s="173">
        <f t="shared" ref="O161:Q161" si="373">O94/((N44+O44)/2)</f>
        <v>0.33302179898456641</v>
      </c>
      <c r="P161" s="173">
        <f t="shared" si="373"/>
        <v>0.37778559832892478</v>
      </c>
      <c r="Q161" s="173">
        <f t="shared" si="373"/>
        <v>0.32140593880137608</v>
      </c>
      <c r="R161" s="173"/>
      <c r="S161" s="80">
        <f t="shared" si="362"/>
        <v>0.32380173944909774</v>
      </c>
      <c r="T161" s="123" t="s">
        <v>149</v>
      </c>
      <c r="Z161" s="119">
        <f t="shared" ref="Z161:AU161" si="374">+Z160+Z157+Z156</f>
        <v>136.1</v>
      </c>
      <c r="AA161" s="119">
        <f t="shared" si="374"/>
        <v>133.19999999999999</v>
      </c>
      <c r="AB161" s="119">
        <f t="shared" si="374"/>
        <v>140.80000000000001</v>
      </c>
      <c r="AC161" s="119">
        <f t="shared" si="374"/>
        <v>161.5</v>
      </c>
      <c r="AD161" s="119">
        <f t="shared" si="374"/>
        <v>176.2</v>
      </c>
      <c r="AE161" s="119">
        <f t="shared" si="374"/>
        <v>168.7</v>
      </c>
      <c r="AF161" s="119">
        <f t="shared" si="374"/>
        <v>169.6</v>
      </c>
      <c r="AG161" s="119">
        <f t="shared" si="374"/>
        <v>170.8</v>
      </c>
      <c r="AH161" s="119">
        <f t="shared" si="374"/>
        <v>162.9</v>
      </c>
      <c r="AI161" s="119">
        <f t="shared" si="374"/>
        <v>183.8</v>
      </c>
      <c r="AJ161" s="119">
        <f t="shared" si="374"/>
        <v>183.6</v>
      </c>
      <c r="AK161" s="119">
        <f t="shared" si="374"/>
        <v>174.5</v>
      </c>
      <c r="AL161" s="119">
        <f t="shared" si="374"/>
        <v>193.361852</v>
      </c>
      <c r="AM161" s="168">
        <f>+AM160+AM157+AM156</f>
        <v>0</v>
      </c>
      <c r="AN161" s="168"/>
      <c r="AO161" s="168"/>
      <c r="AP161" s="168"/>
      <c r="AQ161" s="168"/>
      <c r="AR161" s="168"/>
      <c r="AS161" s="168"/>
      <c r="AT161" s="168"/>
      <c r="AU161" s="168">
        <f t="shared" si="374"/>
        <v>0</v>
      </c>
      <c r="AV161" s="120"/>
    </row>
    <row r="162" spans="1:51" ht="15.75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77"/>
      <c r="L162" s="77"/>
      <c r="M162" s="77"/>
      <c r="N162" s="77"/>
      <c r="O162" s="77"/>
      <c r="P162" s="77"/>
      <c r="Q162" s="77"/>
      <c r="R162" s="59"/>
      <c r="S162" s="80"/>
      <c r="T162" s="123" t="s">
        <v>192</v>
      </c>
      <c r="AD162" s="35">
        <f t="shared" ref="AD162:AL162" si="375">+(AD161-AC161)/AC161</f>
        <v>9.1021671826625322E-2</v>
      </c>
      <c r="AE162" s="35">
        <f t="shared" si="375"/>
        <v>-4.2565266742338258E-2</v>
      </c>
      <c r="AF162" s="35">
        <f t="shared" si="375"/>
        <v>5.3349140486070286E-3</v>
      </c>
      <c r="AG162" s="106">
        <f t="shared" si="375"/>
        <v>7.0754716981133083E-3</v>
      </c>
      <c r="AH162" s="106">
        <f>+(AH161-AG161)/AG161</f>
        <v>-4.6252927400468415E-2</v>
      </c>
      <c r="AI162" s="106">
        <f t="shared" si="375"/>
        <v>0.1282995702885206</v>
      </c>
      <c r="AJ162" s="106">
        <f t="shared" si="375"/>
        <v>-1.0881392818281666E-3</v>
      </c>
      <c r="AK162" s="106">
        <f t="shared" si="375"/>
        <v>-4.9564270152505419E-2</v>
      </c>
      <c r="AL162" s="106">
        <f t="shared" si="375"/>
        <v>0.10809084240687679</v>
      </c>
      <c r="AM162" s="106"/>
      <c r="AN162" s="106"/>
      <c r="AO162" s="106"/>
      <c r="AP162" s="106"/>
      <c r="AQ162" s="106"/>
      <c r="AR162" s="106"/>
      <c r="AS162" s="106"/>
      <c r="AT162" s="106"/>
      <c r="AU162" s="234"/>
      <c r="AV162" s="183"/>
    </row>
    <row r="163" spans="1:51" ht="15.75" x14ac:dyDescent="0.25">
      <c r="A163" s="81" t="s">
        <v>70</v>
      </c>
      <c r="B163" s="59"/>
      <c r="C163" s="59"/>
      <c r="D163" s="59"/>
      <c r="E163" s="59"/>
      <c r="F163" s="59"/>
      <c r="G163" s="59"/>
      <c r="H163" s="59"/>
      <c r="I163" s="59"/>
      <c r="J163" s="59"/>
      <c r="K163" s="77"/>
      <c r="L163" s="77"/>
      <c r="M163" s="77"/>
      <c r="N163" s="77"/>
      <c r="O163" s="77"/>
      <c r="P163" s="77"/>
      <c r="Q163" s="77"/>
      <c r="R163" s="59"/>
      <c r="S163" s="80"/>
      <c r="T163" s="121"/>
      <c r="AU163" s="229"/>
      <c r="AV163" s="122"/>
      <c r="AW163" s="84" t="s">
        <v>242</v>
      </c>
    </row>
    <row r="164" spans="1:51" ht="15.75" x14ac:dyDescent="0.25">
      <c r="A164" s="59" t="s">
        <v>130</v>
      </c>
      <c r="B164" s="20" t="s">
        <v>131</v>
      </c>
      <c r="C164" s="20" t="s">
        <v>157</v>
      </c>
      <c r="D164" s="20" t="s">
        <v>157</v>
      </c>
      <c r="E164" s="20" t="s">
        <v>157</v>
      </c>
      <c r="F164" s="20" t="s">
        <v>157</v>
      </c>
      <c r="G164" s="20" t="s">
        <v>157</v>
      </c>
      <c r="H164" s="20" t="s">
        <v>157</v>
      </c>
      <c r="I164" s="20" t="s">
        <v>131</v>
      </c>
      <c r="J164" s="20" t="s">
        <v>131</v>
      </c>
      <c r="K164" s="177" t="s">
        <v>131</v>
      </c>
      <c r="L164" s="177" t="s">
        <v>131</v>
      </c>
      <c r="M164" s="177" t="s">
        <v>131</v>
      </c>
      <c r="N164" s="177" t="s">
        <v>131</v>
      </c>
      <c r="O164" s="177" t="s">
        <v>131</v>
      </c>
      <c r="P164" s="177" t="s">
        <v>131</v>
      </c>
      <c r="Q164" s="177" t="s">
        <v>131</v>
      </c>
      <c r="R164" s="20"/>
      <c r="S164" s="80"/>
      <c r="T164" s="124" t="s">
        <v>150</v>
      </c>
      <c r="AV164" s="122"/>
      <c r="AW164" s="217">
        <f>+AV167</f>
        <v>0</v>
      </c>
    </row>
    <row r="165" spans="1:51" ht="15" x14ac:dyDescent="0.2">
      <c r="A165" s="59" t="s">
        <v>129</v>
      </c>
      <c r="B165" s="20" t="s">
        <v>128</v>
      </c>
      <c r="C165" s="20" t="s">
        <v>128</v>
      </c>
      <c r="D165" s="20" t="s">
        <v>128</v>
      </c>
      <c r="E165" s="20" t="s">
        <v>128</v>
      </c>
      <c r="F165" s="20" t="s">
        <v>128</v>
      </c>
      <c r="G165" s="20" t="s">
        <v>127</v>
      </c>
      <c r="H165" s="20" t="s">
        <v>127</v>
      </c>
      <c r="I165" s="20" t="s">
        <v>127</v>
      </c>
      <c r="J165" s="20" t="s">
        <v>127</v>
      </c>
      <c r="K165" s="177" t="s">
        <v>127</v>
      </c>
      <c r="L165" s="177" t="s">
        <v>127</v>
      </c>
      <c r="M165" s="177" t="s">
        <v>127</v>
      </c>
      <c r="N165" s="177" t="s">
        <v>127</v>
      </c>
      <c r="O165" s="177" t="s">
        <v>127</v>
      </c>
      <c r="P165" s="177" t="s">
        <v>127</v>
      </c>
      <c r="Q165" s="177" t="s">
        <v>127</v>
      </c>
      <c r="R165" s="20"/>
      <c r="S165" s="80"/>
      <c r="T165" s="118" t="str">
        <f>+T156</f>
        <v xml:space="preserve">   Residential Sales</v>
      </c>
      <c r="Z165" s="106">
        <f t="shared" ref="Z165:AL165" si="376">+Z156/Z$161</f>
        <v>0.68332108743570907</v>
      </c>
      <c r="AA165" s="35">
        <f t="shared" si="376"/>
        <v>0.72297297297297303</v>
      </c>
      <c r="AB165" s="35">
        <f t="shared" si="376"/>
        <v>0.72585227272727271</v>
      </c>
      <c r="AC165" s="106">
        <f t="shared" si="376"/>
        <v>0.65696594427244581</v>
      </c>
      <c r="AD165" s="106">
        <f t="shared" si="376"/>
        <v>0.63734392735527812</v>
      </c>
      <c r="AE165" s="106">
        <f t="shared" si="376"/>
        <v>0.64848844101956138</v>
      </c>
      <c r="AF165" s="106">
        <f t="shared" si="376"/>
        <v>0.62382075471698117</v>
      </c>
      <c r="AG165" s="106">
        <f t="shared" si="376"/>
        <v>0.66334894613583129</v>
      </c>
      <c r="AH165" s="106">
        <f t="shared" si="376"/>
        <v>0.59054634745242485</v>
      </c>
      <c r="AI165" s="106">
        <f t="shared" si="376"/>
        <v>0.62513601741022851</v>
      </c>
      <c r="AJ165" s="106">
        <f t="shared" si="376"/>
        <v>0.53376906318082795</v>
      </c>
      <c r="AK165" s="106">
        <f t="shared" si="376"/>
        <v>0.5386819484240688</v>
      </c>
      <c r="AL165" s="106">
        <f t="shared" si="376"/>
        <v>0.52440540339880493</v>
      </c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83"/>
      <c r="AW165" s="217"/>
    </row>
    <row r="166" spans="1:51" ht="15" x14ac:dyDescent="0.2">
      <c r="A166" s="59" t="s">
        <v>241</v>
      </c>
      <c r="B166" s="20"/>
      <c r="C166" s="20"/>
      <c r="D166" s="20"/>
      <c r="E166" s="20"/>
      <c r="F166" s="20"/>
      <c r="G166" s="20"/>
      <c r="H166" s="20"/>
      <c r="I166" s="20" t="s">
        <v>107</v>
      </c>
      <c r="J166" s="20" t="s">
        <v>107</v>
      </c>
      <c r="K166" s="177" t="s">
        <v>107</v>
      </c>
      <c r="L166" s="177" t="s">
        <v>107</v>
      </c>
      <c r="M166" s="177" t="s">
        <v>107</v>
      </c>
      <c r="N166" s="177" t="s">
        <v>107</v>
      </c>
      <c r="O166" s="177" t="s">
        <v>107</v>
      </c>
      <c r="P166" s="177" t="s">
        <v>107</v>
      </c>
      <c r="Q166" s="177" t="s">
        <v>107</v>
      </c>
      <c r="R166" s="20"/>
      <c r="S166" s="80"/>
      <c r="T166" s="118" t="str">
        <f>+T157</f>
        <v xml:space="preserve">   Industrial Sales</v>
      </c>
      <c r="Z166" s="106">
        <f t="shared" ref="Z166:AL166" si="377">+Z157/Z$161</f>
        <v>6.465833945628216E-2</v>
      </c>
      <c r="AA166" s="35">
        <f t="shared" si="377"/>
        <v>4.27927927927928E-2</v>
      </c>
      <c r="AB166" s="35">
        <f t="shared" si="377"/>
        <v>2.2017045454545452E-2</v>
      </c>
      <c r="AC166" s="106">
        <f t="shared" si="377"/>
        <v>9.9071207430340563E-3</v>
      </c>
      <c r="AD166" s="106">
        <f t="shared" si="377"/>
        <v>9.6481271282633368E-3</v>
      </c>
      <c r="AE166" s="106">
        <f t="shared" si="377"/>
        <v>7.7059869590989927E-3</v>
      </c>
      <c r="AF166" s="106">
        <f t="shared" si="377"/>
        <v>2.6533018867924529E-2</v>
      </c>
      <c r="AG166" s="106">
        <f t="shared" si="377"/>
        <v>2.9274004683840747E-2</v>
      </c>
      <c r="AH166" s="106">
        <f t="shared" si="377"/>
        <v>2.8852056476365868E-2</v>
      </c>
      <c r="AI166" s="106">
        <f t="shared" si="377"/>
        <v>2.3939064200217627E-2</v>
      </c>
      <c r="AJ166" s="106">
        <f t="shared" si="377"/>
        <v>2.3420479302832243E-2</v>
      </c>
      <c r="AK166" s="106">
        <f t="shared" si="377"/>
        <v>1.8911174785100286E-2</v>
      </c>
      <c r="AL166" s="106">
        <f t="shared" si="377"/>
        <v>1.2929127302731875E-2</v>
      </c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83"/>
      <c r="AW166" s="218"/>
    </row>
    <row r="167" spans="1:51" ht="15" x14ac:dyDescent="0.2">
      <c r="A167" s="59" t="s">
        <v>125</v>
      </c>
      <c r="B167" s="20" t="s">
        <v>126</v>
      </c>
      <c r="C167" s="20" t="s">
        <v>126</v>
      </c>
      <c r="D167" s="20" t="s">
        <v>126</v>
      </c>
      <c r="E167" s="20" t="s">
        <v>126</v>
      </c>
      <c r="F167" s="20" t="s">
        <v>126</v>
      </c>
      <c r="G167" s="20" t="s">
        <v>126</v>
      </c>
      <c r="H167" s="20" t="s">
        <v>126</v>
      </c>
      <c r="I167" s="20" t="s">
        <v>126</v>
      </c>
      <c r="J167" s="20" t="s">
        <v>126</v>
      </c>
      <c r="K167" s="177" t="s">
        <v>126</v>
      </c>
      <c r="L167" s="177" t="s">
        <v>126</v>
      </c>
      <c r="M167" s="177" t="s">
        <v>126</v>
      </c>
      <c r="N167" s="177" t="s">
        <v>126</v>
      </c>
      <c r="O167" s="177" t="s">
        <v>126</v>
      </c>
      <c r="P167" s="177" t="s">
        <v>126</v>
      </c>
      <c r="Q167" s="177" t="s">
        <v>126</v>
      </c>
      <c r="R167" s="177"/>
      <c r="S167" s="80"/>
      <c r="T167" s="118" t="str">
        <f>+T160</f>
        <v xml:space="preserve">   Transportation for Industrial </v>
      </c>
      <c r="Z167" s="216">
        <f t="shared" ref="Z167:AL167" si="378">+Z160/Z$161</f>
        <v>0.25202057310800879</v>
      </c>
      <c r="AA167" s="208">
        <f t="shared" si="378"/>
        <v>0.23423423423423426</v>
      </c>
      <c r="AB167" s="208">
        <f t="shared" si="378"/>
        <v>0.25213068181818182</v>
      </c>
      <c r="AC167" s="216">
        <f t="shared" si="378"/>
        <v>0.33312693498452012</v>
      </c>
      <c r="AD167" s="216">
        <f t="shared" si="378"/>
        <v>0.35300794551645859</v>
      </c>
      <c r="AE167" s="216">
        <f t="shared" si="378"/>
        <v>0.34380557202133966</v>
      </c>
      <c r="AF167" s="216">
        <f t="shared" si="378"/>
        <v>0.34964622641509435</v>
      </c>
      <c r="AG167" s="186">
        <f t="shared" si="378"/>
        <v>0.30737704918032782</v>
      </c>
      <c r="AH167" s="186">
        <f t="shared" si="378"/>
        <v>0.3806015960712093</v>
      </c>
      <c r="AI167" s="186">
        <f t="shared" si="378"/>
        <v>0.35092491838955386</v>
      </c>
      <c r="AJ167" s="186">
        <f t="shared" si="378"/>
        <v>0.44281045751633985</v>
      </c>
      <c r="AK167" s="186">
        <f t="shared" si="378"/>
        <v>0.44240687679083096</v>
      </c>
      <c r="AL167" s="186">
        <f t="shared" si="378"/>
        <v>0.46266546929846325</v>
      </c>
      <c r="AM167" s="186"/>
      <c r="AN167" s="186"/>
      <c r="AO167" s="186"/>
      <c r="AP167" s="186"/>
      <c r="AQ167" s="186"/>
      <c r="AR167" s="186"/>
      <c r="AS167" s="186"/>
      <c r="AT167" s="186"/>
      <c r="AU167" s="186"/>
      <c r="AV167" s="183"/>
    </row>
    <row r="168" spans="1:51" ht="15" x14ac:dyDescent="0.2">
      <c r="A168" s="59" t="s">
        <v>135</v>
      </c>
      <c r="B168" s="80">
        <f t="shared" ref="B168:I168" si="379">(+B113+B107)/B107</f>
        <v>2.7824561403508845</v>
      </c>
      <c r="C168" s="80">
        <f t="shared" si="379"/>
        <v>3.6374045801526727</v>
      </c>
      <c r="D168" s="80">
        <f t="shared" si="379"/>
        <v>3.8416988416988431</v>
      </c>
      <c r="E168" s="80">
        <f t="shared" si="379"/>
        <v>4.0829875518672143</v>
      </c>
      <c r="F168" s="80">
        <f t="shared" si="379"/>
        <v>4.7982062780269041</v>
      </c>
      <c r="G168" s="80">
        <f t="shared" si="379"/>
        <v>4.0921985815602877</v>
      </c>
      <c r="H168" s="80">
        <f t="shared" si="379"/>
        <v>4.5017667844522977</v>
      </c>
      <c r="I168" s="80">
        <f t="shared" si="379"/>
        <v>4.1225165562913881</v>
      </c>
      <c r="J168" s="80">
        <f>(+J113+J107)/J107</f>
        <v>4.3043478260869552</v>
      </c>
      <c r="K168" s="173">
        <f>(+K113+K107)/K107</f>
        <v>3.900552486187848</v>
      </c>
      <c r="L168" s="173">
        <f>(+L113+L107)/L107</f>
        <v>4.7435897435897489</v>
      </c>
      <c r="M168" s="173">
        <f>(+M113+M107)/M107</f>
        <v>5.8025078369906007</v>
      </c>
      <c r="N168" s="173">
        <f>(+N113+N107)/N107</f>
        <v>5.5655976676384817</v>
      </c>
      <c r="O168" s="173">
        <f t="shared" ref="O168:P168" si="380">(+O113+O107)/O107</f>
        <v>4.6891891891891921</v>
      </c>
      <c r="P168" s="173">
        <f t="shared" si="380"/>
        <v>3.6900584795321669</v>
      </c>
      <c r="Q168" s="173">
        <f>(+Q113+Q107)/Q107</f>
        <v>4.0381818181818208</v>
      </c>
      <c r="R168" s="80">
        <f>(+R113+R107)/R107</f>
        <v>2.7254464285714266</v>
      </c>
      <c r="S168" s="80">
        <f>AVERAGE(M168:Q168)</f>
        <v>4.757106998306452</v>
      </c>
      <c r="T168" s="118" t="str">
        <f>+T161</f>
        <v xml:space="preserve">      Total Deliveries</v>
      </c>
      <c r="Z168" s="106">
        <f t="shared" ref="Z168:AL168" si="381">+Z161/Z$161</f>
        <v>1</v>
      </c>
      <c r="AA168" s="35">
        <f t="shared" si="381"/>
        <v>1</v>
      </c>
      <c r="AB168" s="35">
        <f t="shared" si="381"/>
        <v>1</v>
      </c>
      <c r="AC168" s="106">
        <f t="shared" si="381"/>
        <v>1</v>
      </c>
      <c r="AD168" s="106">
        <f t="shared" si="381"/>
        <v>1</v>
      </c>
      <c r="AE168" s="106">
        <f t="shared" si="381"/>
        <v>1</v>
      </c>
      <c r="AF168" s="106">
        <f t="shared" si="381"/>
        <v>1</v>
      </c>
      <c r="AG168" s="106">
        <f t="shared" si="381"/>
        <v>1</v>
      </c>
      <c r="AH168" s="106">
        <f t="shared" si="381"/>
        <v>1</v>
      </c>
      <c r="AI168" s="106">
        <f t="shared" si="381"/>
        <v>1</v>
      </c>
      <c r="AJ168" s="106">
        <f t="shared" si="381"/>
        <v>1</v>
      </c>
      <c r="AK168" s="106">
        <f t="shared" si="381"/>
        <v>1</v>
      </c>
      <c r="AL168" s="106">
        <f t="shared" si="381"/>
        <v>1</v>
      </c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83"/>
    </row>
    <row r="169" spans="1:51" ht="15" x14ac:dyDescent="0.2">
      <c r="A169" s="59" t="s">
        <v>134</v>
      </c>
      <c r="B169" s="35">
        <f t="shared" ref="B169:N169" si="382">(B47+B61)/(B77+B61+B47)</f>
        <v>0.53387850467289721</v>
      </c>
      <c r="C169" s="106">
        <f t="shared" si="382"/>
        <v>0.55661082061679656</v>
      </c>
      <c r="D169" s="106">
        <f t="shared" si="382"/>
        <v>0.48095456631482336</v>
      </c>
      <c r="E169" s="106">
        <f t="shared" si="382"/>
        <v>0.54075820074641523</v>
      </c>
      <c r="F169" s="106">
        <f t="shared" si="382"/>
        <v>0.48932210899424017</v>
      </c>
      <c r="G169" s="106">
        <f t="shared" si="382"/>
        <v>0.52270546850015986</v>
      </c>
      <c r="H169" s="106">
        <f t="shared" si="382"/>
        <v>0.56390924956369981</v>
      </c>
      <c r="I169" s="106">
        <f t="shared" si="382"/>
        <v>0.50253423103109152</v>
      </c>
      <c r="J169" s="106">
        <f t="shared" si="382"/>
        <v>0.48058739255014327</v>
      </c>
      <c r="K169" s="186">
        <f t="shared" si="382"/>
        <v>0.43080558055805579</v>
      </c>
      <c r="L169" s="186">
        <f t="shared" si="382"/>
        <v>0.44243280044379446</v>
      </c>
      <c r="M169" s="186">
        <f t="shared" si="382"/>
        <v>0.45036178149296657</v>
      </c>
      <c r="N169" s="186">
        <f t="shared" si="382"/>
        <v>0.51060737015793201</v>
      </c>
      <c r="O169" s="186">
        <f t="shared" ref="O169:P169" si="383">(O47+O61)/(O77+O61+O47)</f>
        <v>0.48006064666267056</v>
      </c>
      <c r="P169" s="186">
        <f t="shared" si="383"/>
        <v>0.48197103702983757</v>
      </c>
      <c r="Q169" s="186">
        <f t="shared" ref="Q169" si="384">(Q47+Q61)/(Q77+Q61+Q47)</f>
        <v>0.46450887691341292</v>
      </c>
      <c r="R169" s="186">
        <f>(R47+R61)/(R77+R61+R47)</f>
        <v>0.45964934897511922</v>
      </c>
      <c r="S169" s="113">
        <f t="shared" ref="S169:S173" si="385">AVERAGE(M169:Q169)</f>
        <v>0.4775019424513639</v>
      </c>
      <c r="T169" s="121"/>
      <c r="Z169" s="218">
        <f t="shared" ref="Z169:AE169" si="386">+AA169</f>
        <v>0</v>
      </c>
      <c r="AA169" s="218">
        <f t="shared" si="386"/>
        <v>0</v>
      </c>
      <c r="AB169" s="218">
        <f t="shared" si="386"/>
        <v>0</v>
      </c>
      <c r="AC169" s="218">
        <f t="shared" si="386"/>
        <v>0</v>
      </c>
      <c r="AD169" s="218">
        <f t="shared" si="386"/>
        <v>0</v>
      </c>
      <c r="AE169" s="218">
        <f t="shared" si="386"/>
        <v>0</v>
      </c>
      <c r="AF169" s="218">
        <f>+AX177</f>
        <v>0</v>
      </c>
      <c r="AV169" s="122"/>
    </row>
    <row r="170" spans="1:51" ht="15.75" x14ac:dyDescent="0.25">
      <c r="A170" s="59" t="s">
        <v>133</v>
      </c>
      <c r="B170" s="35">
        <f>+('Historical CF - Exhibit 1B'!L30+'Historical CF - Exhibit 1B'!L52)/(B47+B61)</f>
        <v>199.34354485776805</v>
      </c>
      <c r="C170" s="106">
        <f>+('Historical CF - Exhibit 1B'!M30+'Historical CF - Exhibit 1B'!M52)/(C47+C61)</f>
        <v>7.7645705521472472E-2</v>
      </c>
      <c r="D170" s="106">
        <f>+('Historical CF - Exhibit 1B'!N30+'Historical CF - Exhibit 1B'!N52)/(D47+D61)</f>
        <v>0.27814885496183217</v>
      </c>
      <c r="E170" s="106">
        <f>+('Historical CF - Exhibit 1B'!O30+'Historical CF - Exhibit 1B'!O52)/(E47+E61)</f>
        <v>0.14475118053033034</v>
      </c>
      <c r="F170" s="106">
        <f>+('Historical CF - Exhibit 1B'!P30+'Historical CF - Exhibit 1B'!P52)/(F47+F61)</f>
        <v>0.2133285041651575</v>
      </c>
      <c r="G170" s="106">
        <f>+('Historical CF - Exhibit 1B'!Q30+'Historical CF - Exhibit 1B'!Q52)/(G47+G61)</f>
        <v>0.13260936066075271</v>
      </c>
      <c r="H170" s="106">
        <f>+('Historical CF - Exhibit 1B'!R30+'Historical CF - Exhibit 1B'!R52)/(H47+H61)</f>
        <v>8.5540975488982485E-2</v>
      </c>
      <c r="I170" s="106">
        <f>+('Historical CF - Exhibit 1B'!S30+'Historical CF - Exhibit 1B'!S52)/(I47+I61)</f>
        <v>0.25756435345476431</v>
      </c>
      <c r="J170" s="106">
        <f>+('Historical CF - Exhibit 1B'!T30+'Historical CF - Exhibit 1B'!T52)/(J47+J61)</f>
        <v>0.21061260992696371</v>
      </c>
      <c r="K170" s="106">
        <f>+('Historical CF - Exhibit 1B'!U30+'Historical CF - Exhibit 1B'!U52)/(K47+K61)</f>
        <v>0.27800992426220961</v>
      </c>
      <c r="L170" s="106">
        <f>+('Historical CF - Exhibit 1B'!V30+'Historical CF - Exhibit 1B'!V52)/(L47+L61)</f>
        <v>0.12128120369314968</v>
      </c>
      <c r="M170" s="106">
        <f>+('Historical CF - Exhibit 1B'!W30+'Historical CF - Exhibit 1B'!W52)/(M47+M61)</f>
        <v>0.18680770382197406</v>
      </c>
      <c r="N170" s="106">
        <f>+('Historical CF - Exhibit 1B'!X30+'Historical CF - Exhibit 1B'!X52)/(N47+N61)</f>
        <v>4.4625682849888389E-2</v>
      </c>
      <c r="O170" s="106">
        <f>+('Historical CF - Exhibit 1B'!Y30+'Historical CF - Exhibit 1B'!Y52)/(O47+O61)</f>
        <v>0.15064267352185096</v>
      </c>
      <c r="P170" s="106">
        <f>+('Historical CF - Exhibit 1B'!Z30+'Historical CF - Exhibit 1B'!Z52)/(P47+P61)</f>
        <v>3.5087719298245765E-2</v>
      </c>
      <c r="Q170" s="106">
        <f>+('Historical CF - Exhibit 1B'!AB30+'Historical CF - Exhibit 1B'!AB52)/(Q47+Q61)</f>
        <v>7.9430604982206346E-2</v>
      </c>
      <c r="R170" s="106">
        <f>+('Historical CF - Exhibit 1B'!AB30+'Historical CF - Exhibit 1B'!AB52)/(R47+R61)</f>
        <v>7.8249894825410116E-2</v>
      </c>
      <c r="S170" s="113">
        <f t="shared" si="385"/>
        <v>9.9318876894833111E-2</v>
      </c>
      <c r="T170" s="124" t="s">
        <v>172</v>
      </c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122"/>
    </row>
    <row r="171" spans="1:51" ht="15" x14ac:dyDescent="0.2">
      <c r="A171" s="77" t="s">
        <v>250</v>
      </c>
      <c r="B171" s="229"/>
      <c r="C171" s="229"/>
      <c r="D171" s="229"/>
      <c r="E171" s="186">
        <f>(E116+E101+E62+E64)/(E61+E49+E48+E4)</f>
        <v>0.92825322391559173</v>
      </c>
      <c r="F171" s="186">
        <f>(F116+F101+F62+F64)/(F61+F49+F48+F4)</f>
        <v>0.82918615528531325</v>
      </c>
      <c r="G171" s="186">
        <f>(G116+G101+G62+G64)/(G61+G49+G48+G4)</f>
        <v>0.90982226379794218</v>
      </c>
      <c r="H171" s="186">
        <f t="shared" ref="H171:M171" si="387">(H116+H101+H62+H64)/(H61+H49+H48)</f>
        <v>1.0404115996258185</v>
      </c>
      <c r="I171" s="186">
        <f t="shared" si="387"/>
        <v>0.73062108810784787</v>
      </c>
      <c r="J171" s="186">
        <f t="shared" si="387"/>
        <v>0.48677488931774315</v>
      </c>
      <c r="K171" s="186">
        <f t="shared" si="387"/>
        <v>0.59908761572521141</v>
      </c>
      <c r="L171" s="186">
        <f t="shared" si="387"/>
        <v>0.63849765258215985</v>
      </c>
      <c r="M171" s="186">
        <f t="shared" si="387"/>
        <v>0.69857870742826533</v>
      </c>
      <c r="N171" s="186">
        <f t="shared" ref="N171" si="388">(N116+N101+N62+N64)/(N61+N49+N48)</f>
        <v>0.55726341169379134</v>
      </c>
      <c r="O171" s="186">
        <f t="shared" ref="O171:P171" si="389">(O116+O101+O62+O64)/(O61+O49+O48)</f>
        <v>0.49646586345381538</v>
      </c>
      <c r="P171" s="186">
        <f t="shared" si="389"/>
        <v>0.4771499488976495</v>
      </c>
      <c r="Q171" s="186">
        <f t="shared" ref="Q171" si="390">(Q116+Q101+Q62+Q64)/(Q61+Q49+Q48)</f>
        <v>0.3716014234875446</v>
      </c>
      <c r="R171" s="296">
        <f>(((R116+R101)*4/3)+R62+R64)/(R61+R49+R48)</f>
        <v>0.35463516462662487</v>
      </c>
      <c r="S171" s="113">
        <f>AVERAGE(M171:Q171)</f>
        <v>0.52021187099221322</v>
      </c>
      <c r="T171" s="118" t="str">
        <f>+T165</f>
        <v xml:space="preserve">   Residential Sales</v>
      </c>
      <c r="U171" s="59"/>
      <c r="V171" s="59"/>
      <c r="W171" s="59"/>
      <c r="X171" s="59"/>
      <c r="Y171" s="59"/>
      <c r="Z171" s="126">
        <v>7.32</v>
      </c>
      <c r="AA171" s="129">
        <v>9.01</v>
      </c>
      <c r="AB171" s="129">
        <v>9.67</v>
      </c>
      <c r="AC171" s="144">
        <v>8.26</v>
      </c>
      <c r="AD171" s="144">
        <v>8.25</v>
      </c>
      <c r="AE171" s="144">
        <v>7.99</v>
      </c>
      <c r="AF171" s="144">
        <v>7.88</v>
      </c>
      <c r="AG171" s="144">
        <v>7.88</v>
      </c>
      <c r="AH171" s="144">
        <v>8.19</v>
      </c>
      <c r="AI171" s="144">
        <v>7.92</v>
      </c>
      <c r="AJ171" s="144">
        <v>8.93</v>
      </c>
      <c r="AK171" s="144">
        <v>9.01</v>
      </c>
      <c r="AL171" s="226"/>
      <c r="AM171" s="226"/>
      <c r="AN171" s="226"/>
      <c r="AO171" s="226"/>
      <c r="AP171" s="226"/>
      <c r="AQ171" s="226"/>
      <c r="AR171" s="226"/>
      <c r="AS171" s="226"/>
      <c r="AT171" s="226"/>
      <c r="AU171" s="226"/>
      <c r="AV171" s="145"/>
    </row>
    <row r="172" spans="1:51" ht="15" x14ac:dyDescent="0.2">
      <c r="A172" s="59" t="s">
        <v>136</v>
      </c>
      <c r="B172" s="33">
        <f t="shared" ref="B172:K172" si="391">+B116/B77</f>
        <v>6.6165413533835093E-2</v>
      </c>
      <c r="C172" s="113">
        <f t="shared" si="391"/>
        <v>0.10565583634175697</v>
      </c>
      <c r="D172" s="113">
        <f t="shared" si="391"/>
        <v>0.10190097259062782</v>
      </c>
      <c r="E172" s="113">
        <f t="shared" si="391"/>
        <v>0.10072711719418277</v>
      </c>
      <c r="F172" s="113">
        <f t="shared" si="391"/>
        <v>9.161894846434146E-2</v>
      </c>
      <c r="G172" s="113">
        <f t="shared" si="391"/>
        <v>9.2462311557789112E-2</v>
      </c>
      <c r="H172" s="113">
        <f t="shared" si="391"/>
        <v>0.1029294061149352</v>
      </c>
      <c r="I172" s="113">
        <f t="shared" si="391"/>
        <v>8.6982968369829564E-2</v>
      </c>
      <c r="J172" s="113">
        <f t="shared" si="391"/>
        <v>9.3090608191973456E-2</v>
      </c>
      <c r="K172" s="185">
        <f t="shared" si="391"/>
        <v>8.2526190946827546E-2</v>
      </c>
      <c r="L172" s="185">
        <f t="shared" ref="L172:M172" si="392">+L116/L77</f>
        <v>8.4840810419681792E-2</v>
      </c>
      <c r="M172" s="185">
        <f t="shared" si="392"/>
        <v>9.5993458708094975E-2</v>
      </c>
      <c r="N172" s="185">
        <f t="shared" ref="N172" si="393">+N116/N77</f>
        <v>9.8498835995825554E-2</v>
      </c>
      <c r="O172" s="185">
        <f t="shared" ref="O172:P172" si="394">+O116/O77</f>
        <v>8.7413535874135445E-2</v>
      </c>
      <c r="P172" s="185">
        <f t="shared" si="394"/>
        <v>9.0306441525953865E-2</v>
      </c>
      <c r="Q172" s="185">
        <f t="shared" ref="Q172" si="395">+Q116/Q77</f>
        <v>8.0879175155893157E-2</v>
      </c>
      <c r="R172" s="185">
        <f>(R116*(4/3))/R77</f>
        <v>4.9465187482603611E-2</v>
      </c>
      <c r="S172" s="113">
        <f t="shared" si="385"/>
        <v>9.0618289451980596E-2</v>
      </c>
      <c r="T172" s="118" t="str">
        <f>+T166</f>
        <v xml:space="preserve">   Industrial Sales</v>
      </c>
      <c r="U172" s="59"/>
      <c r="V172" s="59"/>
      <c r="W172" s="59"/>
      <c r="X172" s="59"/>
      <c r="Y172" s="59"/>
      <c r="Z172" s="126">
        <v>5.56</v>
      </c>
      <c r="AA172" s="129">
        <v>7.06</v>
      </c>
      <c r="AB172" s="129">
        <v>7.64</v>
      </c>
      <c r="AC172" s="146">
        <v>6.18</v>
      </c>
      <c r="AD172" s="146">
        <v>6.99</v>
      </c>
      <c r="AE172" s="146">
        <v>6.5</v>
      </c>
      <c r="AF172" s="146">
        <v>5.89</v>
      </c>
      <c r="AG172" s="146">
        <v>6.03</v>
      </c>
      <c r="AH172" s="146">
        <v>5.79</v>
      </c>
      <c r="AI172" s="146">
        <v>6.47</v>
      </c>
      <c r="AJ172" s="146">
        <v>7.14</v>
      </c>
      <c r="AK172" s="146">
        <v>7.22</v>
      </c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160"/>
      <c r="AW172" s="142">
        <f>+G98/18500</f>
        <v>2.2886486486486484E-2</v>
      </c>
      <c r="AX172" t="s">
        <v>200</v>
      </c>
    </row>
    <row r="173" spans="1:51" ht="15" x14ac:dyDescent="0.2">
      <c r="A173" s="59" t="s">
        <v>132</v>
      </c>
      <c r="B173" s="35" t="e">
        <f>+B107/((B47+#REF!+B61+#REF!)*0.5)</f>
        <v>#REF!</v>
      </c>
      <c r="C173" s="106">
        <f t="shared" ref="C173:N173" si="396">+C107/((C47+B47+C61+B61)*0.5)</f>
        <v>5.3545881872062127E-2</v>
      </c>
      <c r="D173" s="106">
        <f t="shared" si="396"/>
        <v>5.5059523809523808E-2</v>
      </c>
      <c r="E173" s="106">
        <f t="shared" si="396"/>
        <v>4.9700969272014853E-2</v>
      </c>
      <c r="F173" s="106">
        <f t="shared" si="396"/>
        <v>4.0442509974610089E-2</v>
      </c>
      <c r="G173" s="106">
        <f t="shared" si="396"/>
        <v>4.6766169154228855E-2</v>
      </c>
      <c r="H173" s="106">
        <f t="shared" si="396"/>
        <v>3.8724685276409418E-2</v>
      </c>
      <c r="I173" s="106">
        <f t="shared" si="396"/>
        <v>4.1029821343658721E-2</v>
      </c>
      <c r="J173" s="106">
        <f t="shared" si="396"/>
        <v>5.1677651288196534E-2</v>
      </c>
      <c r="K173" s="186">
        <f t="shared" si="396"/>
        <v>5.0393262337300772E-2</v>
      </c>
      <c r="L173" s="186">
        <f t="shared" si="396"/>
        <v>3.7976994705130544E-2</v>
      </c>
      <c r="M173" s="186">
        <f t="shared" si="396"/>
        <v>3.3947004363094599E-2</v>
      </c>
      <c r="N173" s="186">
        <f t="shared" si="396"/>
        <v>2.9802763055000431E-2</v>
      </c>
      <c r="O173" s="186">
        <f t="shared" ref="O173:Q173" si="397">+O107/((O47+N47+O61+N61)*0.5)</f>
        <v>3.3368405230722986E-2</v>
      </c>
      <c r="P173" s="186">
        <f t="shared" si="397"/>
        <v>4.8013477467359268E-2</v>
      </c>
      <c r="Q173" s="186">
        <f t="shared" si="397"/>
        <v>3.8026757009022714E-2</v>
      </c>
      <c r="R173" s="186"/>
      <c r="S173" s="113">
        <f t="shared" si="385"/>
        <v>3.6631681425040002E-2</v>
      </c>
      <c r="T173" s="118" t="str">
        <f>+T167</f>
        <v xml:space="preserve">   Transportation for Industrial </v>
      </c>
      <c r="U173" s="59"/>
      <c r="V173" s="59"/>
      <c r="W173" s="59"/>
      <c r="X173" s="59"/>
      <c r="Y173" s="59"/>
      <c r="Z173" s="126">
        <v>0.19</v>
      </c>
      <c r="AA173" s="129">
        <v>0.19</v>
      </c>
      <c r="AB173" s="129">
        <v>0.19</v>
      </c>
      <c r="AC173" s="146">
        <v>0.18</v>
      </c>
      <c r="AD173" s="146">
        <v>0.16</v>
      </c>
      <c r="AE173" s="146">
        <v>0.19</v>
      </c>
      <c r="AF173" s="146">
        <v>0.16</v>
      </c>
      <c r="AG173" s="146">
        <v>0.21</v>
      </c>
      <c r="AH173" s="146">
        <v>0.19</v>
      </c>
      <c r="AI173" s="146">
        <v>0.22</v>
      </c>
      <c r="AJ173" s="146">
        <v>0.22</v>
      </c>
      <c r="AK173" s="146">
        <v>0.27</v>
      </c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160"/>
    </row>
    <row r="174" spans="1:51" ht="15" x14ac:dyDescent="0.2">
      <c r="A174" s="59"/>
      <c r="B174" s="100"/>
      <c r="C174" s="100"/>
      <c r="D174" s="100"/>
      <c r="E174" s="100"/>
      <c r="F174" s="100"/>
      <c r="G174" s="100"/>
      <c r="H174" s="100"/>
      <c r="I174" s="100"/>
      <c r="J174" s="100"/>
      <c r="K174" s="290"/>
      <c r="L174" s="290"/>
      <c r="M174" s="290"/>
      <c r="N174" s="290"/>
      <c r="O174" s="290"/>
      <c r="P174" s="290"/>
      <c r="Q174" s="290"/>
      <c r="R174" s="100"/>
      <c r="S174" s="113"/>
      <c r="T174" s="118"/>
      <c r="U174" s="59"/>
      <c r="V174" s="59"/>
      <c r="W174" s="59"/>
      <c r="X174" s="59"/>
      <c r="Y174" s="59"/>
      <c r="Z174" s="59"/>
      <c r="AA174" s="129"/>
      <c r="AB174" s="129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145"/>
      <c r="AW174" s="142">
        <f>+AI175-AH175</f>
        <v>0.23000000000000043</v>
      </c>
    </row>
    <row r="175" spans="1:51" ht="15.75" x14ac:dyDescent="0.25">
      <c r="A175" s="81" t="s">
        <v>112</v>
      </c>
      <c r="B175" s="59"/>
      <c r="C175" s="59"/>
      <c r="D175" s="59"/>
      <c r="E175" s="59"/>
      <c r="F175" s="59"/>
      <c r="G175" s="59"/>
      <c r="H175" s="59"/>
      <c r="I175" s="59"/>
      <c r="J175" s="59"/>
      <c r="K175" s="77"/>
      <c r="L175" s="77"/>
      <c r="M175" s="77"/>
      <c r="N175" s="77"/>
      <c r="O175" s="77"/>
      <c r="P175" s="77"/>
      <c r="Q175" s="77"/>
      <c r="R175" s="59"/>
      <c r="S175" s="113"/>
      <c r="T175" s="118" t="s">
        <v>170</v>
      </c>
      <c r="U175" s="59"/>
      <c r="V175" s="59"/>
      <c r="W175" s="59"/>
      <c r="X175" s="59"/>
      <c r="Y175" s="59"/>
      <c r="Z175" s="126">
        <v>5.2</v>
      </c>
      <c r="AA175" s="129">
        <v>6.46</v>
      </c>
      <c r="AB175" s="136">
        <v>6.54</v>
      </c>
      <c r="AC175" s="143">
        <v>5.93</v>
      </c>
      <c r="AD175" s="143">
        <v>6.14</v>
      </c>
      <c r="AE175" s="143">
        <v>5.01</v>
      </c>
      <c r="AF175" s="143">
        <v>5.34</v>
      </c>
      <c r="AG175" s="143">
        <v>5.05</v>
      </c>
      <c r="AH175" s="143">
        <v>4.7699999999999996</v>
      </c>
      <c r="AI175" s="143">
        <v>5</v>
      </c>
      <c r="AJ175" s="143">
        <v>5.98</v>
      </c>
      <c r="AK175" s="143">
        <v>5.05</v>
      </c>
      <c r="AL175" s="228"/>
      <c r="AM175" s="228"/>
      <c r="AN175" s="228"/>
      <c r="AO175" s="228"/>
      <c r="AP175" s="228"/>
      <c r="AQ175" s="228"/>
      <c r="AR175" s="228"/>
      <c r="AS175" s="228"/>
      <c r="AT175" s="228"/>
      <c r="AU175" s="228"/>
      <c r="AV175" s="145"/>
      <c r="AW175" s="100">
        <f>+AW174/AH175</f>
        <v>4.8218029350104913E-2</v>
      </c>
      <c r="AX175" s="150">
        <v>107.24</v>
      </c>
      <c r="AY175" s="150">
        <v>106.02</v>
      </c>
    </row>
    <row r="176" spans="1:51" ht="15" x14ac:dyDescent="0.2">
      <c r="A176" s="59" t="s">
        <v>60</v>
      </c>
      <c r="B176" s="33">
        <f t="shared" ref="B176:N176" si="398">(B49+B61)/(B$49+B$61+B$77)</f>
        <v>0.48114434330299088</v>
      </c>
      <c r="C176" s="113">
        <f t="shared" si="398"/>
        <v>0.47103755569700828</v>
      </c>
      <c r="D176" s="113">
        <f t="shared" si="398"/>
        <v>0.44856167723061924</v>
      </c>
      <c r="E176" s="113">
        <f t="shared" si="398"/>
        <v>0.47701599373671849</v>
      </c>
      <c r="F176" s="113">
        <f t="shared" si="398"/>
        <v>0.48118473172488296</v>
      </c>
      <c r="G176" s="113">
        <f t="shared" si="398"/>
        <v>0.47238179407865666</v>
      </c>
      <c r="H176" s="113">
        <f t="shared" si="398"/>
        <v>0.46109385783298823</v>
      </c>
      <c r="I176" s="113">
        <f t="shared" si="398"/>
        <v>0.48959950325985713</v>
      </c>
      <c r="J176" s="113">
        <f t="shared" si="398"/>
        <v>0.49680777238029145</v>
      </c>
      <c r="K176" s="185">
        <f t="shared" si="398"/>
        <v>0.42416481702805758</v>
      </c>
      <c r="L176" s="185">
        <f t="shared" si="398"/>
        <v>0.40273350980498085</v>
      </c>
      <c r="M176" s="185">
        <f t="shared" si="398"/>
        <v>0.37880942706216986</v>
      </c>
      <c r="N176" s="185">
        <f t="shared" si="398"/>
        <v>0.44415688724287183</v>
      </c>
      <c r="O176" s="185">
        <f t="shared" ref="O176:P176" si="399">(O49+O61)/(O$49+O$61+O$77)</f>
        <v>0.45778790998676278</v>
      </c>
      <c r="P176" s="185">
        <f t="shared" si="399"/>
        <v>0.42980422921941303</v>
      </c>
      <c r="Q176" s="185">
        <f t="shared" ref="Q176" si="400">(Q49+Q61)/(Q$49+Q$61+Q$77)</f>
        <v>0.46450887691341292</v>
      </c>
      <c r="R176" s="113">
        <f>(R49+R61)/(R$49+R$61+R$77)</f>
        <v>0.45596729184242973</v>
      </c>
      <c r="S176" s="113">
        <f t="shared" ref="S176:S177" si="401">AVERAGE(M176:Q176)</f>
        <v>0.43501346608492603</v>
      </c>
      <c r="T176" s="121"/>
      <c r="AF176" s="134"/>
      <c r="AG176" s="134"/>
      <c r="AL176" s="229"/>
      <c r="AM176" s="229"/>
      <c r="AN176" s="229"/>
      <c r="AO176" s="229"/>
      <c r="AP176" s="229"/>
      <c r="AQ176" s="229"/>
      <c r="AR176" s="229"/>
      <c r="AS176" s="229"/>
      <c r="AT176" s="229"/>
      <c r="AU176" s="229"/>
      <c r="AV176" s="120"/>
      <c r="AW176" s="100"/>
      <c r="AX176" s="150"/>
      <c r="AY176" s="150"/>
    </row>
    <row r="177" spans="1:56" ht="15" x14ac:dyDescent="0.2">
      <c r="A177" s="59" t="s">
        <v>113</v>
      </c>
      <c r="B177" s="41">
        <f t="shared" ref="B177:K177" si="402">B77/(B$49+B$61+B$77)</f>
        <v>0.51885565669700906</v>
      </c>
      <c r="C177" s="113">
        <f t="shared" si="402"/>
        <v>0.52896244430299177</v>
      </c>
      <c r="D177" s="113">
        <f t="shared" si="402"/>
        <v>0.55143832276938076</v>
      </c>
      <c r="E177" s="113">
        <f t="shared" si="402"/>
        <v>0.52298400626328156</v>
      </c>
      <c r="F177" s="113">
        <f t="shared" si="402"/>
        <v>0.51881526827511704</v>
      </c>
      <c r="G177" s="113">
        <f t="shared" si="402"/>
        <v>0.52761820592134334</v>
      </c>
      <c r="H177" s="113">
        <f t="shared" si="402"/>
        <v>0.53890614216701171</v>
      </c>
      <c r="I177" s="113">
        <f t="shared" si="402"/>
        <v>0.51040049674014276</v>
      </c>
      <c r="J177" s="113">
        <f t="shared" si="402"/>
        <v>0.5031922276197085</v>
      </c>
      <c r="K177" s="185">
        <f t="shared" si="402"/>
        <v>0.57583518297194236</v>
      </c>
      <c r="L177" s="185">
        <f t="shared" ref="L177:M177" si="403">L77/(L$49+L$61+L$77)</f>
        <v>0.59726649019501921</v>
      </c>
      <c r="M177" s="185">
        <f t="shared" si="403"/>
        <v>0.6211905729378302</v>
      </c>
      <c r="N177" s="185">
        <f t="shared" ref="N177" si="404">N77/(N$49+N$61+N$77)</f>
        <v>0.55584311275712828</v>
      </c>
      <c r="O177" s="185">
        <f t="shared" ref="O177:P177" si="405">O77/(O$49+O$61+O$77)</f>
        <v>0.54221209001323722</v>
      </c>
      <c r="P177" s="185">
        <f t="shared" si="405"/>
        <v>0.57019577078058692</v>
      </c>
      <c r="Q177" s="185">
        <f t="shared" ref="Q177" si="406">Q77/(Q$49+Q$61+Q$77)</f>
        <v>0.53549112308658708</v>
      </c>
      <c r="R177" s="113">
        <f>R77/(R$49+R$61+R$77)</f>
        <v>0.54403270815757021</v>
      </c>
      <c r="S177" s="113">
        <f t="shared" si="401"/>
        <v>0.56498653391507392</v>
      </c>
      <c r="T177" s="118" t="s">
        <v>152</v>
      </c>
      <c r="U177" s="59"/>
      <c r="V177" s="59"/>
      <c r="W177" s="59"/>
      <c r="X177" s="59"/>
      <c r="Y177" s="59"/>
      <c r="Z177" s="127">
        <v>0.03</v>
      </c>
      <c r="AA177" s="131">
        <v>-0.03</v>
      </c>
      <c r="AB177" s="131">
        <v>-0.02</v>
      </c>
      <c r="AC177" s="127">
        <v>0.02</v>
      </c>
      <c r="AD177" s="127">
        <v>0.08</v>
      </c>
      <c r="AE177" s="127">
        <v>0.05</v>
      </c>
      <c r="AF177" s="127">
        <v>0.01</v>
      </c>
      <c r="AG177" s="127">
        <v>7.0000000000000007E-2</v>
      </c>
      <c r="AH177" s="127">
        <v>-0.16</v>
      </c>
      <c r="AI177" s="127">
        <v>0.08</v>
      </c>
      <c r="AJ177" s="127">
        <v>-0.17</v>
      </c>
      <c r="AK177" s="127">
        <v>-0.19</v>
      </c>
      <c r="AL177" s="220">
        <v>-0.15</v>
      </c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33"/>
      <c r="AW177" s="100"/>
      <c r="AX177" s="218">
        <f>+AY177</f>
        <v>0</v>
      </c>
      <c r="AY177" s="218">
        <f>+AZ177</f>
        <v>0</v>
      </c>
      <c r="AZ177" s="218">
        <f>+BA177</f>
        <v>0</v>
      </c>
      <c r="BA177" s="218">
        <f>+BB177</f>
        <v>0</v>
      </c>
      <c r="BB177" s="218">
        <f>+BD177</f>
        <v>0</v>
      </c>
      <c r="BC177" s="218">
        <f>+BD177</f>
        <v>0</v>
      </c>
      <c r="BD177" s="218">
        <f>+AW164</f>
        <v>0</v>
      </c>
    </row>
    <row r="178" spans="1:56" ht="15" x14ac:dyDescent="0.2">
      <c r="A178" s="59"/>
      <c r="B178" s="33">
        <f t="shared" ref="B178" si="407">SUM(B176:B177)</f>
        <v>1</v>
      </c>
      <c r="C178" s="113"/>
      <c r="D178" s="113"/>
      <c r="E178" s="113"/>
      <c r="F178" s="113"/>
      <c r="G178" s="113"/>
      <c r="H178" s="113"/>
      <c r="I178" s="113"/>
      <c r="J178" s="113"/>
      <c r="K178" s="185"/>
      <c r="L178" s="185"/>
      <c r="M178" s="185"/>
      <c r="N178" s="185"/>
      <c r="O178" s="185"/>
      <c r="P178" s="185"/>
      <c r="Q178" s="185"/>
      <c r="R178" s="113"/>
      <c r="S178" s="113"/>
      <c r="T178" s="118" t="s">
        <v>169</v>
      </c>
      <c r="U178" s="59"/>
      <c r="V178" s="59"/>
      <c r="W178" s="59"/>
      <c r="X178" s="59"/>
      <c r="Y178" s="59"/>
      <c r="Z178" s="119">
        <v>114.9</v>
      </c>
      <c r="AA178" s="119">
        <v>113.3</v>
      </c>
      <c r="AB178" s="119">
        <v>113.6</v>
      </c>
      <c r="AC178" s="119">
        <v>110.8</v>
      </c>
      <c r="AD178" s="119">
        <v>109.9</v>
      </c>
      <c r="AE178" s="119">
        <v>109</v>
      </c>
      <c r="AF178" s="119">
        <v>106.9</v>
      </c>
      <c r="AG178" s="119">
        <v>111.1</v>
      </c>
      <c r="AH178" s="119">
        <v>108.4</v>
      </c>
      <c r="AI178" s="119">
        <v>108</v>
      </c>
      <c r="AJ178" s="119">
        <v>108.9</v>
      </c>
      <c r="AK178" s="119">
        <v>103.3</v>
      </c>
      <c r="AL178" s="168">
        <v>106.7</v>
      </c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20"/>
    </row>
    <row r="179" spans="1:56" ht="15.75" x14ac:dyDescent="0.25">
      <c r="A179" s="81" t="s">
        <v>114</v>
      </c>
      <c r="B179" s="59"/>
      <c r="C179" s="113"/>
      <c r="D179" s="113"/>
      <c r="E179" s="113"/>
      <c r="F179" s="113"/>
      <c r="G179" s="113"/>
      <c r="H179" s="113"/>
      <c r="I179" s="113"/>
      <c r="J179" s="113"/>
      <c r="K179" s="185"/>
      <c r="L179" s="185"/>
      <c r="M179" s="185"/>
      <c r="N179" s="185"/>
      <c r="O179" s="185"/>
      <c r="P179" s="185"/>
      <c r="Q179" s="185"/>
      <c r="R179" s="113"/>
      <c r="S179" s="106"/>
      <c r="T179" s="118"/>
      <c r="U179" s="59"/>
      <c r="V179" s="59"/>
      <c r="W179" s="59"/>
      <c r="X179" s="59"/>
      <c r="Y179" s="5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20"/>
    </row>
    <row r="180" spans="1:56" ht="15" x14ac:dyDescent="0.2">
      <c r="A180" s="59" t="s">
        <v>115</v>
      </c>
      <c r="B180" s="33">
        <f>(B$47)/(B$47+B$49+B$72+B$77+B$61)</f>
        <v>0.10163551401869159</v>
      </c>
      <c r="C180" s="113">
        <f>(C$47)/(C$47+C$49+C$72+C$77+C$61)</f>
        <v>0.16356085613885635</v>
      </c>
      <c r="D180" s="113">
        <f>(D$47)/(D$47+D$49+D$72+D$77+D$61)</f>
        <v>0.14816737618108192</v>
      </c>
      <c r="E180" s="113">
        <f t="shared" ref="E180:R180" si="408">(E$47+E48)/(E$47+E48+E$49+E$72+E$77+E$61)</f>
        <v>0.15666855310318806</v>
      </c>
      <c r="F180" s="113">
        <f t="shared" si="408"/>
        <v>1.5684536996012407E-2</v>
      </c>
      <c r="G180" s="113">
        <f t="shared" si="408"/>
        <v>9.5378957467220984E-2</v>
      </c>
      <c r="H180" s="113">
        <f t="shared" si="408"/>
        <v>0.19078534031413613</v>
      </c>
      <c r="I180" s="113">
        <f t="shared" si="408"/>
        <v>0.16141629783910438</v>
      </c>
      <c r="J180" s="113">
        <f t="shared" si="408"/>
        <v>0.14277215942891136</v>
      </c>
      <c r="K180" s="185">
        <f t="shared" si="408"/>
        <v>1.1532403240324033E-2</v>
      </c>
      <c r="L180" s="185">
        <f>(L$47+L48)/(L$47+L48+L$49+L$72+L$77+L$61)</f>
        <v>6.646830399919311E-2</v>
      </c>
      <c r="M180" s="185">
        <f>(M$47+M48)/(M$47+M48+M$49+M$72+M$77+M$61)</f>
        <v>0.11518583434452385</v>
      </c>
      <c r="N180" s="185">
        <f>(N$47+N48)/(N$47+N48+N$49+N$72+N$77+N$61)</f>
        <v>0.11954899033550719</v>
      </c>
      <c r="O180" s="185">
        <f t="shared" ref="O180:P180" si="409">(O$47+O48)/(O$47+O48+O$49+O$72+O$77+O$61)</f>
        <v>4.1077536053030571E-2</v>
      </c>
      <c r="P180" s="185">
        <f t="shared" si="409"/>
        <v>0.13745693897637795</v>
      </c>
      <c r="Q180" s="185">
        <f t="shared" ref="Q180" si="410">(Q$47+Q48)/(Q$47+Q48+Q$49+Q$72+Q$77+Q$61)</f>
        <v>0</v>
      </c>
      <c r="R180" s="113">
        <f t="shared" si="408"/>
        <v>6.7680804434704133E-3</v>
      </c>
      <c r="S180" s="113">
        <f t="shared" ref="S180:S182" si="411">AVERAGE(M180:Q180)</f>
        <v>8.2653859941887911E-2</v>
      </c>
      <c r="T180" s="118" t="s">
        <v>151</v>
      </c>
      <c r="U180" s="59"/>
      <c r="V180" s="59"/>
      <c r="W180" s="59"/>
      <c r="X180" s="59"/>
      <c r="Y180" s="59"/>
      <c r="Z180" s="119">
        <v>794.1</v>
      </c>
      <c r="AA180" s="119">
        <v>824.4</v>
      </c>
      <c r="AB180" s="119">
        <v>850.5</v>
      </c>
      <c r="AC180" s="119">
        <v>873.6</v>
      </c>
      <c r="AD180" s="119">
        <v>888.6</v>
      </c>
      <c r="AE180" s="119">
        <v>898.6</v>
      </c>
      <c r="AF180" s="119">
        <v>909.6</v>
      </c>
      <c r="AG180" s="119">
        <v>919</v>
      </c>
      <c r="AH180" s="119">
        <v>931</v>
      </c>
      <c r="AI180" s="119">
        <v>945.971</v>
      </c>
      <c r="AJ180" s="119">
        <v>962</v>
      </c>
      <c r="AK180" s="119">
        <v>990</v>
      </c>
      <c r="AL180" s="168">
        <v>1007</v>
      </c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219"/>
    </row>
    <row r="181" spans="1:56" ht="15" x14ac:dyDescent="0.2">
      <c r="A181" s="59" t="s">
        <v>60</v>
      </c>
      <c r="B181" s="33">
        <f>(B$61+B49)/(B$47+B$49+B$72+B$77+B$61)</f>
        <v>0.43224299065420563</v>
      </c>
      <c r="C181" s="113">
        <f>(C$61+C49)/(C$47+C$49+C$72+C$77+C$61)</f>
        <v>0.39399424981365133</v>
      </c>
      <c r="D181" s="113">
        <f>(D$61+D49)/(D$47+D$49+D$72+D$77+D$61)</f>
        <v>0.38209947045997306</v>
      </c>
      <c r="E181" s="113">
        <f t="shared" ref="E181:R181" si="412">(E$61+E49)/(E$47+E48+E$49+E$72+E$77+E$61)</f>
        <v>0.40228258819090734</v>
      </c>
      <c r="F181" s="113">
        <f t="shared" si="412"/>
        <v>0.47363757199822776</v>
      </c>
      <c r="G181" s="113">
        <f t="shared" si="412"/>
        <v>0.42732651103293895</v>
      </c>
      <c r="H181" s="113">
        <f t="shared" si="412"/>
        <v>0.37312390924956368</v>
      </c>
      <c r="I181" s="113">
        <f t="shared" si="412"/>
        <v>0.41057016401978647</v>
      </c>
      <c r="J181" s="113">
        <f t="shared" si="412"/>
        <v>0.42587745389649018</v>
      </c>
      <c r="K181" s="185">
        <f t="shared" si="412"/>
        <v>0.41927317731773178</v>
      </c>
      <c r="L181" s="185">
        <f t="shared" ref="L181:M181" si="413">(L$61+L49)/(L$47+L48+L$49+L$72+L$77+L$61)</f>
        <v>0.37596449644460139</v>
      </c>
      <c r="M181" s="185">
        <f t="shared" si="413"/>
        <v>0.33517594714844273</v>
      </c>
      <c r="N181" s="185">
        <f t="shared" ref="N181" si="414">(N$61+N49)/(N$47+N48+N$49+N$72+N$77+N$61)</f>
        <v>0.39105837982242475</v>
      </c>
      <c r="O181" s="185">
        <f t="shared" ref="O181:P181" si="415">(O$61+O49)/(O$47+O48+O$49+O$72+O$77+O$61)</f>
        <v>0.43898311060964001</v>
      </c>
      <c r="P181" s="185">
        <f t="shared" si="415"/>
        <v>0.37072465551181105</v>
      </c>
      <c r="Q181" s="185">
        <f t="shared" ref="Q181" si="416">(Q$61+Q49)/(Q$47+Q48+Q$49+Q$72+Q$77+Q$61)</f>
        <v>0.46450887691341292</v>
      </c>
      <c r="R181" s="113">
        <f t="shared" si="412"/>
        <v>0.45288126853164884</v>
      </c>
      <c r="S181" s="113">
        <f t="shared" si="411"/>
        <v>0.40009019400114632</v>
      </c>
      <c r="T181" s="118" t="s">
        <v>153</v>
      </c>
      <c r="Z181" s="106">
        <v>3.8193364450000003E-2</v>
      </c>
      <c r="AA181" s="35">
        <f t="shared" ref="AA181:AI181" si="417">(+AA180-Z180)/Z180</f>
        <v>3.8156403475632733E-2</v>
      </c>
      <c r="AB181" s="35">
        <f t="shared" si="417"/>
        <v>3.1659388646288235E-2</v>
      </c>
      <c r="AC181" s="35">
        <f t="shared" si="417"/>
        <v>2.7160493827160521E-2</v>
      </c>
      <c r="AD181" s="35">
        <f t="shared" si="417"/>
        <v>1.7170329670329668E-2</v>
      </c>
      <c r="AE181" s="35">
        <f t="shared" si="417"/>
        <v>1.1253657438667566E-2</v>
      </c>
      <c r="AF181" s="35">
        <f t="shared" si="417"/>
        <v>1.2241264188738037E-2</v>
      </c>
      <c r="AG181" s="35">
        <f t="shared" si="417"/>
        <v>1.0334212840809121E-2</v>
      </c>
      <c r="AH181" s="35">
        <f t="shared" si="417"/>
        <v>1.3057671381936888E-2</v>
      </c>
      <c r="AI181" s="35">
        <f t="shared" si="417"/>
        <v>1.6080558539205158E-2</v>
      </c>
      <c r="AJ181" s="35">
        <f>(+AJ180-AI180)/AI180</f>
        <v>1.6944494070114197E-2</v>
      </c>
      <c r="AK181" s="35">
        <f>(+AK180-AJ180)/AJ180</f>
        <v>2.9106029106029108E-2</v>
      </c>
      <c r="AL181" s="238">
        <f>(+AL180-AK180)/AK180</f>
        <v>1.7171717171717171E-2</v>
      </c>
      <c r="AM181" s="238"/>
      <c r="AN181" s="238"/>
      <c r="AO181" s="238"/>
      <c r="AP181" s="238"/>
      <c r="AQ181" s="238"/>
      <c r="AR181" s="238"/>
      <c r="AS181" s="238"/>
      <c r="AT181" s="238"/>
      <c r="AU181" s="238"/>
      <c r="AV181" s="239"/>
    </row>
    <row r="182" spans="1:56" ht="15.75" x14ac:dyDescent="0.25">
      <c r="A182" s="59" t="s">
        <v>113</v>
      </c>
      <c r="B182" s="33">
        <f>B$77/(B$47+B$49+B$72+B$77+B$61)</f>
        <v>0.46612149532710279</v>
      </c>
      <c r="C182" s="113">
        <f>C$77/(C$47+C$49+C$72+C$77+C$61)</f>
        <v>0.44244489404749227</v>
      </c>
      <c r="D182" s="113">
        <f>D$77/(D$47+D$49+D$72+D$77+D$61)</f>
        <v>0.46973315335894511</v>
      </c>
      <c r="E182" s="113">
        <f>E$77/(E$47+E$49+E$72+E$77+E$61)</f>
        <v>0.44104885870590455</v>
      </c>
      <c r="F182" s="113">
        <f>F$77/(F$47+F$49+F$72+F$77+F$61)</f>
        <v>0.51067789100575978</v>
      </c>
      <c r="G182" s="113">
        <f>G$77/(G$47+G48+G$49+G$72+G$77+G$61)</f>
        <v>0.47729453149984014</v>
      </c>
      <c r="H182" s="113">
        <f>H$77/(H$47+H48+H$49+H$72+H$77+H$61)</f>
        <v>0.43609075043630019</v>
      </c>
      <c r="I182" s="113">
        <f>I$77/(I$47+I48+I$49+I$72+I$77+I$61)</f>
        <v>0.4280135381411091</v>
      </c>
      <c r="J182" s="113">
        <f>J$77/(J$47+J48+J$49+J$72+J$77+J$61)</f>
        <v>0.43135038667459846</v>
      </c>
      <c r="K182" s="185">
        <f>K$77/(K$47+K$49+K$72+K$77+K$61)</f>
        <v>0.56919441944194415</v>
      </c>
      <c r="L182" s="185">
        <f>L$77/(L$47+L$49+L$72+L$77+L$61)</f>
        <v>0.55756719955620559</v>
      </c>
      <c r="M182" s="185">
        <f>M$77/(M$47+M$49+M$72+M$77+M$61)</f>
        <v>0.54963821850703343</v>
      </c>
      <c r="N182" s="185">
        <f>N$77/(N$47+N$49+N$72+N$77+N$61)</f>
        <v>0.48939262984206805</v>
      </c>
      <c r="O182" s="185">
        <f t="shared" ref="O182:Q182" si="418">O$77/(O$47+O$49+O$72+O$77+O$61)</f>
        <v>0.51993935333732944</v>
      </c>
      <c r="P182" s="185">
        <f t="shared" si="418"/>
        <v>0.51802896297016232</v>
      </c>
      <c r="Q182" s="185">
        <f t="shared" si="418"/>
        <v>0.53549112308658708</v>
      </c>
      <c r="R182" s="113">
        <f>R$77/(R$47+R$49+R$72+R$77+R$61)</f>
        <v>0.54035065102488067</v>
      </c>
      <c r="S182" s="113">
        <f t="shared" si="411"/>
        <v>0.5224980575486361</v>
      </c>
      <c r="T182" s="241"/>
      <c r="U182" s="116"/>
      <c r="V182" s="116"/>
      <c r="W182" s="116"/>
      <c r="X182" s="116"/>
      <c r="Y182" s="116"/>
      <c r="Z182" s="116"/>
      <c r="AA182" s="116"/>
      <c r="AB182" s="116"/>
      <c r="AC182" s="242"/>
      <c r="AD182" s="243"/>
      <c r="AE182" s="243"/>
      <c r="AF182" s="243"/>
      <c r="AG182" s="243"/>
      <c r="AH182" s="243"/>
      <c r="AI182" s="243"/>
      <c r="AJ182" s="243"/>
      <c r="AK182" s="243"/>
      <c r="AL182" s="244"/>
      <c r="AM182" s="244"/>
      <c r="AN182" s="244"/>
      <c r="AO182" s="244"/>
      <c r="AP182" s="244"/>
      <c r="AQ182" s="244"/>
      <c r="AR182" s="244"/>
      <c r="AS182" s="244"/>
      <c r="AT182" s="244"/>
      <c r="AU182" s="244"/>
      <c r="AV182" s="245"/>
    </row>
    <row r="183" spans="1:56" ht="15.75" x14ac:dyDescent="0.25">
      <c r="T183" s="139"/>
      <c r="Z183" s="248">
        <v>4</v>
      </c>
      <c r="AA183" s="249">
        <f>+Z183+1</f>
        <v>5</v>
      </c>
      <c r="AB183" s="249">
        <f t="shared" ref="AB183:AP183" si="419">+AA183+1</f>
        <v>6</v>
      </c>
      <c r="AC183" s="249">
        <f t="shared" si="419"/>
        <v>7</v>
      </c>
      <c r="AD183" s="249">
        <f t="shared" si="419"/>
        <v>8</v>
      </c>
      <c r="AE183" s="249">
        <f t="shared" si="419"/>
        <v>9</v>
      </c>
      <c r="AF183" s="249">
        <f t="shared" si="419"/>
        <v>10</v>
      </c>
      <c r="AG183" s="249">
        <f t="shared" si="419"/>
        <v>11</v>
      </c>
      <c r="AH183" s="249">
        <f t="shared" si="419"/>
        <v>12</v>
      </c>
      <c r="AI183" s="249">
        <f t="shared" si="419"/>
        <v>13</v>
      </c>
      <c r="AJ183" s="249">
        <f t="shared" si="419"/>
        <v>14</v>
      </c>
      <c r="AK183" s="249">
        <f t="shared" si="419"/>
        <v>15</v>
      </c>
      <c r="AL183" s="249">
        <f>+AK183+1</f>
        <v>16</v>
      </c>
      <c r="AM183" s="249">
        <f t="shared" si="419"/>
        <v>17</v>
      </c>
      <c r="AN183" s="249">
        <f t="shared" si="419"/>
        <v>18</v>
      </c>
      <c r="AO183" s="249">
        <f t="shared" si="419"/>
        <v>19</v>
      </c>
      <c r="AP183" s="249">
        <f t="shared" si="419"/>
        <v>20</v>
      </c>
      <c r="AQ183" s="249"/>
      <c r="AR183" s="249"/>
      <c r="AS183" s="249"/>
      <c r="AT183" s="249"/>
      <c r="AU183" s="186"/>
      <c r="AV183" s="35"/>
      <c r="AW183" s="165"/>
    </row>
    <row r="184" spans="1:56" ht="15.75" x14ac:dyDescent="0.25">
      <c r="A184" s="139" t="s">
        <v>198</v>
      </c>
      <c r="B184" s="64">
        <f t="shared" ref="B184" si="420">SUM(B180:B182)</f>
        <v>1</v>
      </c>
      <c r="C184" s="113">
        <f t="shared" ref="C184:R184" si="421">+C123/C116</f>
        <v>0.65603644646924797</v>
      </c>
      <c r="D184" s="113">
        <f t="shared" si="421"/>
        <v>0.65726681127982611</v>
      </c>
      <c r="E184" s="113">
        <f t="shared" si="421"/>
        <v>0.70063694267516119</v>
      </c>
      <c r="F184" s="113">
        <f t="shared" si="421"/>
        <v>0.6723484848484852</v>
      </c>
      <c r="G184" s="113">
        <f t="shared" si="421"/>
        <v>0.65217391304347705</v>
      </c>
      <c r="H184" s="113">
        <f t="shared" si="421"/>
        <v>0.59097978227060632</v>
      </c>
      <c r="I184" s="113">
        <f t="shared" si="421"/>
        <v>0.52447552447552515</v>
      </c>
      <c r="J184" s="113">
        <f t="shared" si="421"/>
        <v>0</v>
      </c>
      <c r="K184" s="185">
        <f t="shared" si="421"/>
        <v>0</v>
      </c>
      <c r="L184" s="185">
        <f t="shared" ref="L184:M184" si="422">+L123/L116</f>
        <v>0</v>
      </c>
      <c r="M184" s="185">
        <f t="shared" si="422"/>
        <v>0</v>
      </c>
      <c r="N184" s="185">
        <f t="shared" ref="N184" si="423">+N123/N116</f>
        <v>0.81499592502037554</v>
      </c>
      <c r="O184" s="185">
        <f t="shared" ref="O184:P184" si="424">+O123/O116</f>
        <v>0</v>
      </c>
      <c r="P184" s="185">
        <f t="shared" si="424"/>
        <v>0.13850415512465353</v>
      </c>
      <c r="Q184" s="185">
        <f t="shared" ref="Q184" si="425">+Q123/Q116</f>
        <v>0.76335877862595336</v>
      </c>
      <c r="R184" s="113">
        <f t="shared" si="421"/>
        <v>0</v>
      </c>
      <c r="S184" s="113"/>
      <c r="AW184" s="165"/>
    </row>
    <row r="185" spans="1:56" ht="15.75" hidden="1" x14ac:dyDescent="0.25">
      <c r="S185" s="73" t="s">
        <v>109</v>
      </c>
      <c r="AW185" s="165"/>
    </row>
    <row r="186" spans="1:56" ht="15.75" hidden="1" x14ac:dyDescent="0.25">
      <c r="S186" s="108" t="s">
        <v>232</v>
      </c>
      <c r="T186" s="142"/>
      <c r="AW186" s="165"/>
    </row>
    <row r="187" spans="1:56" ht="20.25" hidden="1" x14ac:dyDescent="0.3">
      <c r="A187" s="313" t="str">
        <f>+A128</f>
        <v>Questar Gas Company dba Enbridge Gas Utah</v>
      </c>
      <c r="B187" s="313"/>
      <c r="C187" s="313"/>
      <c r="D187" s="313"/>
      <c r="E187" s="313"/>
      <c r="F187" s="313"/>
      <c r="G187" s="313"/>
      <c r="H187" s="313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  <c r="S187" s="313"/>
      <c r="AW187" s="165"/>
    </row>
    <row r="188" spans="1:56" s="139" customFormat="1" ht="15.75" hidden="1" x14ac:dyDescent="0.25">
      <c r="A188" s="310" t="s">
        <v>215</v>
      </c>
      <c r="B188" s="310"/>
      <c r="C188" s="310"/>
      <c r="D188" s="310"/>
      <c r="E188" s="310"/>
      <c r="F188" s="310"/>
      <c r="G188" s="310"/>
      <c r="H188" s="310"/>
      <c r="I188" s="310"/>
      <c r="J188" s="310"/>
      <c r="K188" s="310"/>
      <c r="L188" s="310"/>
      <c r="M188" s="310"/>
      <c r="N188" s="310"/>
      <c r="O188" s="310"/>
      <c r="P188" s="310"/>
      <c r="Q188" s="310"/>
      <c r="R188" s="310"/>
      <c r="S188" s="310"/>
      <c r="AW188" s="157"/>
    </row>
    <row r="189" spans="1:56" s="139" customFormat="1" ht="15.75" hidden="1" x14ac:dyDescent="0.25">
      <c r="A189" s="310" t="str">
        <f>+A130</f>
        <v>Years Ended December 31</v>
      </c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10"/>
      <c r="O189" s="310"/>
      <c r="P189" s="310"/>
      <c r="Q189" s="310"/>
      <c r="R189" s="310"/>
      <c r="S189" s="310"/>
      <c r="AW189" s="157"/>
    </row>
    <row r="190" spans="1:56" ht="15.75" hidden="1" x14ac:dyDescent="0.25">
      <c r="S190" s="82" t="s">
        <v>212</v>
      </c>
      <c r="AJ190" s="140"/>
    </row>
    <row r="191" spans="1:56" ht="15.75" hidden="1" x14ac:dyDescent="0.25">
      <c r="B191" s="142"/>
      <c r="C191" s="142"/>
      <c r="F191" s="158"/>
      <c r="G191" s="158"/>
      <c r="H191" s="158"/>
      <c r="I191" s="158"/>
      <c r="J191" s="247"/>
      <c r="K191" s="291"/>
      <c r="L191" s="291"/>
      <c r="M191" s="291"/>
      <c r="N191" s="291"/>
      <c r="O191" s="291"/>
      <c r="P191" s="291"/>
      <c r="Q191" s="291"/>
      <c r="R191" s="158" t="str">
        <f>+AU133</f>
        <v>3rd Qrtr</v>
      </c>
      <c r="S191" s="170" t="s">
        <v>213</v>
      </c>
      <c r="T191" s="84"/>
      <c r="U191" s="84" t="s">
        <v>207</v>
      </c>
      <c r="AJ191" s="106"/>
    </row>
    <row r="192" spans="1:56" ht="15.75" hidden="1" x14ac:dyDescent="0.25">
      <c r="A192" s="81" t="s">
        <v>193</v>
      </c>
      <c r="B192" s="156">
        <f t="shared" ref="B192:R192" si="426">+B8</f>
        <v>2009</v>
      </c>
      <c r="C192" s="156">
        <f t="shared" si="426"/>
        <v>2010</v>
      </c>
      <c r="D192" s="156">
        <f t="shared" si="426"/>
        <v>2011</v>
      </c>
      <c r="E192" s="156">
        <f t="shared" si="426"/>
        <v>2012</v>
      </c>
      <c r="F192" s="156">
        <f t="shared" si="426"/>
        <v>2013</v>
      </c>
      <c r="G192" s="156">
        <f t="shared" si="426"/>
        <v>2014</v>
      </c>
      <c r="H192" s="156">
        <f t="shared" si="426"/>
        <v>2015</v>
      </c>
      <c r="I192" s="156">
        <f t="shared" si="426"/>
        <v>2016</v>
      </c>
      <c r="J192" s="156">
        <f t="shared" si="426"/>
        <v>2017</v>
      </c>
      <c r="K192" s="292">
        <f t="shared" si="426"/>
        <v>2018</v>
      </c>
      <c r="L192" s="292">
        <f t="shared" si="426"/>
        <v>2019</v>
      </c>
      <c r="M192" s="292">
        <f t="shared" si="426"/>
        <v>2020</v>
      </c>
      <c r="N192" s="292">
        <f t="shared" si="426"/>
        <v>2021</v>
      </c>
      <c r="O192" s="292">
        <f t="shared" si="426"/>
        <v>2022</v>
      </c>
      <c r="P192" s="292">
        <f t="shared" si="426"/>
        <v>2023</v>
      </c>
      <c r="Q192" s="292">
        <f t="shared" ref="Q192" si="427">+Q8</f>
        <v>2024</v>
      </c>
      <c r="R192" s="156">
        <f t="shared" si="426"/>
        <v>2025</v>
      </c>
      <c r="S192" s="83" t="s">
        <v>23</v>
      </c>
      <c r="T192" s="84"/>
      <c r="U192" s="167" t="s">
        <v>208</v>
      </c>
    </row>
    <row r="193" spans="1:51" ht="15" hidden="1" x14ac:dyDescent="0.2">
      <c r="A193" s="59" t="s">
        <v>181</v>
      </c>
      <c r="B193" s="155"/>
      <c r="C193" s="155">
        <v>245.4</v>
      </c>
      <c r="D193" s="155">
        <v>221.2</v>
      </c>
      <c r="E193" s="155">
        <v>104.2</v>
      </c>
      <c r="F193" s="155">
        <v>186.6</v>
      </c>
      <c r="G193" s="155">
        <v>136.5</v>
      </c>
      <c r="H193" s="155">
        <v>82.5</v>
      </c>
      <c r="I193" s="155">
        <v>102</v>
      </c>
      <c r="J193" s="155">
        <v>125.5</v>
      </c>
      <c r="K193" s="171">
        <v>124.6</v>
      </c>
      <c r="L193" s="171">
        <v>179.1</v>
      </c>
      <c r="M193" s="171">
        <v>128.5</v>
      </c>
      <c r="N193" s="171">
        <v>284</v>
      </c>
      <c r="O193" s="171">
        <v>594.70000000000005</v>
      </c>
      <c r="P193" s="171">
        <v>752.3</v>
      </c>
      <c r="Q193" s="171">
        <v>247.6</v>
      </c>
      <c r="R193" s="171"/>
      <c r="S193" s="113">
        <f>RATE(5,,-M193,Q193)</f>
        <v>0.14016971860529337</v>
      </c>
      <c r="T193" s="119"/>
      <c r="U193" s="113">
        <f t="shared" ref="U193:U201" si="428">RATE(4,,-C193,G193)</f>
        <v>-0.1363962425299424</v>
      </c>
      <c r="AX193" s="152"/>
      <c r="AY193" s="152"/>
    </row>
    <row r="194" spans="1:51" ht="15.75" hidden="1" x14ac:dyDescent="0.25">
      <c r="A194" s="139" t="s">
        <v>182</v>
      </c>
      <c r="B194" s="157">
        <v>224.9</v>
      </c>
      <c r="C194" s="157">
        <v>240</v>
      </c>
      <c r="D194" s="157">
        <v>253.4</v>
      </c>
      <c r="E194" s="157">
        <v>274</v>
      </c>
      <c r="F194" s="157">
        <v>294.60000000000002</v>
      </c>
      <c r="G194" s="157">
        <v>349.7</v>
      </c>
      <c r="H194" s="157">
        <v>319</v>
      </c>
      <c r="I194" s="157">
        <v>311.7</v>
      </c>
      <c r="J194" s="157">
        <v>304.2</v>
      </c>
      <c r="K194" s="293">
        <v>245.6</v>
      </c>
      <c r="L194" s="293">
        <v>225</v>
      </c>
      <c r="M194" s="293">
        <v>218.2</v>
      </c>
      <c r="N194" s="293">
        <v>199.9</v>
      </c>
      <c r="O194" s="293">
        <v>227</v>
      </c>
      <c r="P194" s="293">
        <v>213.6</v>
      </c>
      <c r="Q194" s="293">
        <v>204.4</v>
      </c>
      <c r="R194" s="293"/>
      <c r="S194" s="113">
        <f t="shared" ref="S194:S201" si="429">RATE(5,,-M194,Q194)</f>
        <v>-1.2981645049510271E-2</v>
      </c>
      <c r="T194" s="119"/>
      <c r="U194" s="113">
        <f t="shared" si="428"/>
        <v>9.8679693417890221E-2</v>
      </c>
      <c r="AW194" s="151"/>
      <c r="AX194" s="151"/>
      <c r="AY194" s="151"/>
    </row>
    <row r="195" spans="1:51" ht="15" hidden="1" x14ac:dyDescent="0.2">
      <c r="A195" s="59" t="s">
        <v>183</v>
      </c>
      <c r="B195" s="155"/>
      <c r="C195" s="155">
        <v>78.099999999999994</v>
      </c>
      <c r="D195" s="155">
        <v>78.400000000000006</v>
      </c>
      <c r="E195" s="155">
        <v>79.599999999999994</v>
      </c>
      <c r="F195" s="155">
        <v>80.099999999999994</v>
      </c>
      <c r="G195" s="155">
        <v>79.599999999999994</v>
      </c>
      <c r="H195" s="155">
        <v>79.2</v>
      </c>
      <c r="I195" s="155">
        <v>79.3</v>
      </c>
      <c r="J195" s="155">
        <v>84.9</v>
      </c>
      <c r="K195" s="171">
        <v>85.2</v>
      </c>
      <c r="L195" s="171">
        <v>91.4</v>
      </c>
      <c r="M195" s="171">
        <v>87.6</v>
      </c>
      <c r="N195" s="171">
        <v>88.3</v>
      </c>
      <c r="O195" s="171">
        <v>93.8</v>
      </c>
      <c r="P195" s="171">
        <v>82.3</v>
      </c>
      <c r="Q195" s="171">
        <v>90.8</v>
      </c>
      <c r="R195" s="171"/>
      <c r="S195" s="113">
        <f t="shared" si="429"/>
        <v>7.2014642532962671E-3</v>
      </c>
      <c r="T195" s="119"/>
      <c r="U195" s="113">
        <f t="shared" si="428"/>
        <v>4.7673367656874835E-3</v>
      </c>
    </row>
    <row r="196" spans="1:51" ht="15" hidden="1" x14ac:dyDescent="0.2">
      <c r="A196" s="59" t="s">
        <v>184</v>
      </c>
      <c r="B196" s="155"/>
      <c r="C196" s="155">
        <v>23.6</v>
      </c>
      <c r="D196" s="155">
        <v>25</v>
      </c>
      <c r="E196" s="155">
        <v>20.5</v>
      </c>
      <c r="F196" s="155">
        <v>18.8</v>
      </c>
      <c r="G196" s="155">
        <v>21</v>
      </c>
      <c r="H196" s="155">
        <v>22.1</v>
      </c>
      <c r="I196" s="155">
        <v>23.7</v>
      </c>
      <c r="J196" s="155">
        <v>24.9</v>
      </c>
      <c r="K196" s="171">
        <v>28.2</v>
      </c>
      <c r="L196" s="171">
        <v>28.3</v>
      </c>
      <c r="M196" s="171">
        <v>17</v>
      </c>
      <c r="N196" s="171">
        <v>17.2</v>
      </c>
      <c r="O196" s="171">
        <v>7.2</v>
      </c>
      <c r="P196" s="171">
        <v>7.4</v>
      </c>
      <c r="Q196" s="171">
        <v>7.2</v>
      </c>
      <c r="R196" s="171"/>
      <c r="S196" s="113">
        <f t="shared" si="429"/>
        <v>-0.15787470012314669</v>
      </c>
      <c r="T196" s="119"/>
      <c r="U196" s="113">
        <f t="shared" si="428"/>
        <v>-2.8759412606938494E-2</v>
      </c>
    </row>
    <row r="197" spans="1:51" ht="15.75" hidden="1" x14ac:dyDescent="0.25">
      <c r="A197" s="59" t="s">
        <v>185</v>
      </c>
      <c r="B197" s="155"/>
      <c r="C197" s="155">
        <v>37.200000000000003</v>
      </c>
      <c r="D197" s="155">
        <v>38.9</v>
      </c>
      <c r="E197" s="155">
        <v>32</v>
      </c>
      <c r="F197" s="155">
        <v>44.3</v>
      </c>
      <c r="G197" s="155">
        <v>60.1</v>
      </c>
      <c r="H197" s="155">
        <v>33.299999999999997</v>
      </c>
      <c r="I197" s="155">
        <v>26.3</v>
      </c>
      <c r="J197" s="155">
        <v>21.6</v>
      </c>
      <c r="K197" s="171">
        <v>27.1</v>
      </c>
      <c r="L197" s="171">
        <v>30.9</v>
      </c>
      <c r="M197" s="171">
        <v>20</v>
      </c>
      <c r="N197" s="171">
        <v>33.700000000000003</v>
      </c>
      <c r="O197" s="171">
        <v>57.5</v>
      </c>
      <c r="P197" s="171">
        <v>59.1</v>
      </c>
      <c r="Q197" s="171">
        <v>21.6</v>
      </c>
      <c r="R197" s="171"/>
      <c r="S197" s="113">
        <f t="shared" si="429"/>
        <v>1.5511278397481596E-2</v>
      </c>
      <c r="T197" s="119"/>
      <c r="U197" s="113">
        <f t="shared" si="428"/>
        <v>0.1274125969650575</v>
      </c>
      <c r="V197" s="59"/>
      <c r="W197" s="59"/>
      <c r="X197" s="59"/>
      <c r="Y197" s="59"/>
      <c r="Z197" s="59"/>
      <c r="AA197" s="59"/>
      <c r="AB197" s="59"/>
      <c r="AC197" s="156" t="e">
        <f>+AC134</f>
        <v>#REF!</v>
      </c>
    </row>
    <row r="198" spans="1:51" ht="15" hidden="1" x14ac:dyDescent="0.2">
      <c r="A198" s="59" t="s">
        <v>186</v>
      </c>
      <c r="B198" s="155"/>
      <c r="C198" s="155">
        <v>-0.8</v>
      </c>
      <c r="D198" s="155">
        <v>3</v>
      </c>
      <c r="E198" s="155">
        <v>1.9</v>
      </c>
      <c r="F198" s="155">
        <v>-0.8</v>
      </c>
      <c r="G198" s="155">
        <v>-1.1000000000000001</v>
      </c>
      <c r="H198" s="155">
        <v>-3.5</v>
      </c>
      <c r="I198" s="155">
        <v>-5.5</v>
      </c>
      <c r="J198" s="155">
        <v>-3.6</v>
      </c>
      <c r="K198" s="171">
        <v>8.6999999999999993</v>
      </c>
      <c r="L198" s="171">
        <v>-1.8</v>
      </c>
      <c r="M198" s="171">
        <v>0.1</v>
      </c>
      <c r="N198" s="171">
        <v>0.9</v>
      </c>
      <c r="O198" s="171">
        <v>-5.4</v>
      </c>
      <c r="P198" s="171">
        <v>0.9</v>
      </c>
      <c r="Q198" s="171">
        <v>-4.7</v>
      </c>
      <c r="R198" s="171"/>
      <c r="S198" s="113"/>
      <c r="T198" s="119"/>
      <c r="U198" s="113">
        <f t="shared" si="428"/>
        <v>8.286838533404528E-2</v>
      </c>
      <c r="V198" s="155"/>
      <c r="W198" s="155"/>
      <c r="X198" s="155"/>
      <c r="Y198" s="155"/>
      <c r="Z198" s="155"/>
      <c r="AA198" s="155"/>
      <c r="AB198" s="155"/>
      <c r="AC198" s="155"/>
    </row>
    <row r="199" spans="1:51" ht="15" hidden="1" x14ac:dyDescent="0.2">
      <c r="A199" s="59" t="s">
        <v>187</v>
      </c>
      <c r="B199" s="155"/>
      <c r="C199" s="155">
        <v>-36.799999999999997</v>
      </c>
      <c r="D199" s="155">
        <v>20.6</v>
      </c>
      <c r="E199" s="155">
        <v>16.100000000000001</v>
      </c>
      <c r="F199" s="155">
        <v>22</v>
      </c>
      <c r="G199" s="155">
        <v>-45.8</v>
      </c>
      <c r="H199" s="155">
        <v>20.5</v>
      </c>
      <c r="I199" s="155">
        <v>-0.6</v>
      </c>
      <c r="J199" s="155">
        <v>-7.3</v>
      </c>
      <c r="K199" s="171">
        <v>6.6</v>
      </c>
      <c r="L199" s="171">
        <v>-42.7</v>
      </c>
      <c r="M199" s="171">
        <v>22.2</v>
      </c>
      <c r="N199" s="171">
        <v>-67.099999999999994</v>
      </c>
      <c r="O199" s="171">
        <v>-137.4</v>
      </c>
      <c r="P199" s="171">
        <v>3.4</v>
      </c>
      <c r="Q199" s="171">
        <v>295.7</v>
      </c>
      <c r="R199" s="171"/>
      <c r="S199" s="113">
        <f t="shared" si="429"/>
        <v>0.67841622842087634</v>
      </c>
      <c r="T199" s="119"/>
      <c r="U199" s="113">
        <f t="shared" si="428"/>
        <v>5.6220068197260768E-2</v>
      </c>
      <c r="V199" s="155"/>
      <c r="W199" s="155"/>
      <c r="X199" s="155"/>
      <c r="Y199" s="155"/>
      <c r="Z199" s="155"/>
      <c r="AA199" s="155"/>
      <c r="AB199" s="155"/>
      <c r="AC199" s="155"/>
    </row>
    <row r="200" spans="1:51" ht="15" hidden="1" x14ac:dyDescent="0.2">
      <c r="A200" s="59" t="s">
        <v>65</v>
      </c>
      <c r="B200" s="105"/>
      <c r="C200" s="105">
        <v>5.5</v>
      </c>
      <c r="D200" s="105">
        <v>5.2</v>
      </c>
      <c r="E200" s="105">
        <v>5</v>
      </c>
      <c r="F200" s="105">
        <v>5</v>
      </c>
      <c r="G200" s="105">
        <v>4.8</v>
      </c>
      <c r="H200" s="105">
        <v>5</v>
      </c>
      <c r="I200" s="105">
        <v>5.2</v>
      </c>
      <c r="J200" s="105">
        <v>5.2</v>
      </c>
      <c r="K200" s="169">
        <v>4.5999999999999996</v>
      </c>
      <c r="L200" s="169">
        <v>4.2</v>
      </c>
      <c r="M200" s="169">
        <v>3.8</v>
      </c>
      <c r="N200" s="169">
        <v>3.7</v>
      </c>
      <c r="O200" s="169">
        <v>4</v>
      </c>
      <c r="P200" s="169">
        <v>5.0999999999999996</v>
      </c>
      <c r="Q200" s="169">
        <v>6</v>
      </c>
      <c r="R200" s="305"/>
      <c r="S200" s="113">
        <f t="shared" si="429"/>
        <v>9.5654257747853758E-2</v>
      </c>
      <c r="T200" s="119"/>
      <c r="U200" s="163">
        <f t="shared" si="428"/>
        <v>-3.3460433818755624E-2</v>
      </c>
      <c r="V200" s="155"/>
      <c r="W200" s="155"/>
      <c r="X200" s="155"/>
      <c r="Y200" s="155"/>
      <c r="Z200" s="155"/>
      <c r="AA200" s="155"/>
      <c r="AB200" s="155"/>
      <c r="AC200" s="155"/>
    </row>
    <row r="201" spans="1:51" ht="15" hidden="1" x14ac:dyDescent="0.2">
      <c r="A201" s="59" t="s">
        <v>214</v>
      </c>
      <c r="B201" s="155"/>
      <c r="C201" s="155">
        <f t="shared" ref="C201:R201" si="430">SUM(C193:C200)</f>
        <v>592.20000000000016</v>
      </c>
      <c r="D201" s="155">
        <f t="shared" si="430"/>
        <v>645.70000000000005</v>
      </c>
      <c r="E201" s="155">
        <f t="shared" si="430"/>
        <v>533.29999999999995</v>
      </c>
      <c r="F201" s="155">
        <f t="shared" si="430"/>
        <v>650.6</v>
      </c>
      <c r="G201" s="155">
        <f t="shared" si="430"/>
        <v>604.79999999999995</v>
      </c>
      <c r="H201" s="155">
        <f t="shared" si="430"/>
        <v>558.1</v>
      </c>
      <c r="I201" s="155">
        <f t="shared" ref="I201:N201" si="431">SUM(I193:I200)</f>
        <v>542.1</v>
      </c>
      <c r="J201" s="155">
        <f t="shared" si="431"/>
        <v>555.40000000000009</v>
      </c>
      <c r="K201" s="155">
        <f t="shared" si="431"/>
        <v>530.6</v>
      </c>
      <c r="L201" s="155">
        <f t="shared" si="431"/>
        <v>514.4</v>
      </c>
      <c r="M201" s="155">
        <f t="shared" si="431"/>
        <v>497.4</v>
      </c>
      <c r="N201" s="155">
        <f t="shared" si="431"/>
        <v>560.6</v>
      </c>
      <c r="O201" s="155">
        <f t="shared" ref="O201:P201" si="432">SUM(O193:O200)</f>
        <v>841.40000000000009</v>
      </c>
      <c r="P201" s="155">
        <f t="shared" si="432"/>
        <v>1124.1000000000001</v>
      </c>
      <c r="Q201" s="155">
        <f t="shared" ref="Q201" si="433">SUM(Q193:Q200)</f>
        <v>868.59999999999991</v>
      </c>
      <c r="R201" s="155">
        <f t="shared" si="430"/>
        <v>0</v>
      </c>
      <c r="S201" s="113">
        <f t="shared" si="429"/>
        <v>0.11795110311921</v>
      </c>
      <c r="T201" s="119"/>
      <c r="U201" s="113">
        <f t="shared" si="428"/>
        <v>5.2772280741924258E-3</v>
      </c>
      <c r="V201" s="155"/>
      <c r="W201" s="155"/>
      <c r="X201" s="155"/>
      <c r="Y201" s="155"/>
      <c r="Z201" s="155"/>
      <c r="AA201" s="155"/>
      <c r="AB201" s="155"/>
      <c r="AC201" s="155"/>
    </row>
    <row r="202" spans="1:51" ht="15" hidden="1" x14ac:dyDescent="0.2">
      <c r="A202" s="59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232"/>
      <c r="T202" s="155"/>
      <c r="U202" s="113"/>
      <c r="V202" s="155"/>
      <c r="W202" s="155"/>
      <c r="X202" s="155"/>
      <c r="Y202" s="155"/>
      <c r="Z202" s="155"/>
      <c r="AA202" s="155"/>
      <c r="AB202" s="155"/>
      <c r="AC202" s="155"/>
    </row>
    <row r="203" spans="1:51" ht="15.75" hidden="1" x14ac:dyDescent="0.25">
      <c r="A203" s="59" t="s">
        <v>188</v>
      </c>
      <c r="B203" s="155"/>
      <c r="C203" s="155">
        <v>-313.7</v>
      </c>
      <c r="D203" s="155">
        <v>-327.3</v>
      </c>
      <c r="E203" s="155">
        <v>-347.7</v>
      </c>
      <c r="F203" s="155">
        <v>-370.9</v>
      </c>
      <c r="G203" s="155">
        <v>-423.4</v>
      </c>
      <c r="H203" s="155">
        <v>-393.5</v>
      </c>
      <c r="I203" s="171">
        <f t="shared" ref="I203:N203" si="434">-I194-I195-I198</f>
        <v>-385.5</v>
      </c>
      <c r="J203" s="171">
        <f t="shared" si="434"/>
        <v>-385.5</v>
      </c>
      <c r="K203" s="171">
        <f t="shared" si="434"/>
        <v>-339.5</v>
      </c>
      <c r="L203" s="171">
        <f t="shared" si="434"/>
        <v>-314.59999999999997</v>
      </c>
      <c r="M203" s="171">
        <f t="shared" si="434"/>
        <v>-305.89999999999998</v>
      </c>
      <c r="N203" s="171">
        <f t="shared" si="434"/>
        <v>-289.09999999999997</v>
      </c>
      <c r="O203" s="171"/>
      <c r="P203" s="171"/>
      <c r="Q203" s="171"/>
      <c r="R203" s="171">
        <f>-R200-R195-R194</f>
        <v>0</v>
      </c>
      <c r="S203" s="113">
        <f>RATE(5,,-J203,N203)</f>
        <v>-5.592881590105505E-2</v>
      </c>
      <c r="T203" s="157"/>
      <c r="U203" s="113">
        <f>RATE(4,,-C203,G203)</f>
        <v>7.7851880460899289E-2</v>
      </c>
      <c r="V203" s="155"/>
      <c r="W203" s="155"/>
      <c r="X203" s="155"/>
      <c r="Y203" s="155"/>
      <c r="Z203" s="155"/>
      <c r="AA203" s="155"/>
      <c r="AB203" s="155"/>
      <c r="AC203" s="155"/>
    </row>
    <row r="204" spans="1:51" ht="15" hidden="1" x14ac:dyDescent="0.2">
      <c r="A204" s="59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85"/>
      <c r="T204" s="155"/>
      <c r="U204" s="113"/>
      <c r="V204" s="155"/>
      <c r="W204" s="155"/>
      <c r="X204" s="155"/>
      <c r="Y204" s="155"/>
      <c r="Z204" s="155"/>
      <c r="AA204" s="155"/>
      <c r="AB204" s="155"/>
      <c r="AC204" s="155"/>
    </row>
    <row r="205" spans="1:51" ht="15.75" hidden="1" x14ac:dyDescent="0.25">
      <c r="A205" s="59" t="s">
        <v>230</v>
      </c>
      <c r="B205" s="155"/>
      <c r="C205" s="155">
        <f t="shared" ref="C205:J205" si="435">+C203+C201</f>
        <v>278.50000000000017</v>
      </c>
      <c r="D205" s="155">
        <f t="shared" si="435"/>
        <v>318.40000000000003</v>
      </c>
      <c r="E205" s="155">
        <f t="shared" si="435"/>
        <v>185.59999999999997</v>
      </c>
      <c r="F205" s="155">
        <f t="shared" si="435"/>
        <v>279.70000000000005</v>
      </c>
      <c r="G205" s="155">
        <f t="shared" si="435"/>
        <v>181.39999999999998</v>
      </c>
      <c r="H205" s="155">
        <f t="shared" si="435"/>
        <v>164.60000000000002</v>
      </c>
      <c r="I205" s="155">
        <f>+I203+I201</f>
        <v>156.60000000000002</v>
      </c>
      <c r="J205" s="155">
        <f t="shared" si="435"/>
        <v>169.90000000000009</v>
      </c>
      <c r="K205" s="155">
        <f>+K203+K201</f>
        <v>191.10000000000002</v>
      </c>
      <c r="L205" s="155">
        <f>+L203+L201</f>
        <v>199.8</v>
      </c>
      <c r="M205" s="155">
        <f>+M203+M201</f>
        <v>191.5</v>
      </c>
      <c r="N205" s="155">
        <f>+N203+N201</f>
        <v>271.50000000000006</v>
      </c>
      <c r="O205" s="155"/>
      <c r="P205" s="155"/>
      <c r="Q205" s="155"/>
      <c r="R205" s="155">
        <f>+R203+R201</f>
        <v>0</v>
      </c>
      <c r="S205" s="113">
        <f>RATE(5,,-J205,N205)</f>
        <v>9.8285603937796562E-2</v>
      </c>
      <c r="T205" s="157"/>
      <c r="U205" s="166">
        <f>RATE(4,,-C205,G205)</f>
        <v>-0.10163459210202652</v>
      </c>
      <c r="V205" s="155"/>
      <c r="W205" s="155"/>
      <c r="X205" s="155"/>
      <c r="Y205" s="155"/>
      <c r="Z205" s="155"/>
      <c r="AA205" s="155"/>
      <c r="AB205" s="155"/>
      <c r="AC205" s="155"/>
    </row>
    <row r="206" spans="1:51" ht="15.75" hidden="1" x14ac:dyDescent="0.25">
      <c r="A206" s="59"/>
      <c r="B206" s="155"/>
      <c r="C206" s="157"/>
      <c r="D206" s="157"/>
      <c r="E206" s="157"/>
      <c r="F206" s="157"/>
      <c r="G206" s="157"/>
      <c r="H206" s="157"/>
      <c r="I206" s="157">
        <f t="shared" ref="I206:M206" si="436">I199+I193</f>
        <v>101.4</v>
      </c>
      <c r="J206" s="157">
        <f t="shared" si="436"/>
        <v>118.2</v>
      </c>
      <c r="K206" s="157">
        <f t="shared" si="436"/>
        <v>131.19999999999999</v>
      </c>
      <c r="L206" s="157">
        <f t="shared" si="436"/>
        <v>136.39999999999998</v>
      </c>
      <c r="M206" s="157">
        <f t="shared" si="436"/>
        <v>150.69999999999999</v>
      </c>
      <c r="N206" s="157">
        <f>N199+N193</f>
        <v>216.9</v>
      </c>
      <c r="O206" s="157"/>
      <c r="P206" s="157"/>
      <c r="Q206" s="157"/>
      <c r="R206" s="157"/>
      <c r="S206" s="166"/>
      <c r="T206" s="157"/>
      <c r="U206" s="166"/>
      <c r="V206" s="155"/>
      <c r="W206" s="155"/>
      <c r="X206" s="155"/>
      <c r="Y206" s="155"/>
      <c r="Z206" s="155"/>
      <c r="AA206" s="155"/>
      <c r="AB206" s="155"/>
      <c r="AC206" s="155"/>
    </row>
    <row r="207" spans="1:51" ht="15" hidden="1" x14ac:dyDescent="0.2">
      <c r="A207" s="59" t="s">
        <v>194</v>
      </c>
      <c r="B207" s="155"/>
      <c r="C207" s="155">
        <v>2.4</v>
      </c>
      <c r="D207" s="155">
        <v>3.1</v>
      </c>
      <c r="E207" s="155">
        <v>6.7</v>
      </c>
      <c r="F207" s="155">
        <v>6.1</v>
      </c>
      <c r="G207" s="155">
        <v>4</v>
      </c>
      <c r="H207" s="155">
        <v>8.9</v>
      </c>
      <c r="I207" s="171"/>
      <c r="J207" s="171"/>
      <c r="K207" s="171"/>
      <c r="L207" s="171"/>
      <c r="M207" s="171"/>
      <c r="N207" s="171"/>
      <c r="O207" s="171"/>
      <c r="P207" s="171"/>
      <c r="Q207" s="171"/>
      <c r="R207" s="171"/>
      <c r="S207" s="113"/>
      <c r="T207" s="155"/>
      <c r="U207" s="113">
        <f>RATE(4,,-C207,G207)</f>
        <v>0.13621936646749927</v>
      </c>
      <c r="V207" s="155"/>
      <c r="W207" s="155"/>
      <c r="X207" s="155"/>
      <c r="Y207" s="155"/>
      <c r="Z207" s="155"/>
      <c r="AA207" s="155"/>
      <c r="AB207" s="155"/>
      <c r="AC207" s="155"/>
    </row>
    <row r="208" spans="1:51" ht="15" hidden="1" x14ac:dyDescent="0.2">
      <c r="A208" s="59" t="s">
        <v>203</v>
      </c>
      <c r="B208" s="155"/>
      <c r="C208" s="155"/>
      <c r="D208" s="155"/>
      <c r="E208" s="155"/>
      <c r="F208" s="155"/>
      <c r="G208" s="155">
        <v>0.9</v>
      </c>
      <c r="H208" s="155">
        <v>1.7</v>
      </c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232"/>
      <c r="T208" s="155"/>
      <c r="U208" s="113"/>
      <c r="V208" s="105"/>
      <c r="W208" s="105"/>
      <c r="X208" s="105"/>
      <c r="Y208" s="105"/>
      <c r="Z208" s="105"/>
      <c r="AA208" s="105"/>
      <c r="AB208" s="105"/>
      <c r="AC208" s="105"/>
    </row>
    <row r="209" spans="1:48" ht="15" hidden="1" x14ac:dyDescent="0.2">
      <c r="A209" s="59" t="s">
        <v>189</v>
      </c>
      <c r="B209" s="155"/>
      <c r="C209" s="155">
        <f>+C207+C205</f>
        <v>280.90000000000015</v>
      </c>
      <c r="D209" s="155">
        <f>+D207+D205</f>
        <v>321.50000000000006</v>
      </c>
      <c r="E209" s="155">
        <f>+E207+E205</f>
        <v>192.29999999999995</v>
      </c>
      <c r="F209" s="155">
        <f>+F207+F205</f>
        <v>285.80000000000007</v>
      </c>
      <c r="G209" s="155">
        <f t="shared" ref="G209:R209" si="437">+G207+G205+G208</f>
        <v>186.29999999999998</v>
      </c>
      <c r="H209" s="155">
        <f t="shared" si="437"/>
        <v>175.20000000000002</v>
      </c>
      <c r="I209" s="171">
        <f t="shared" si="437"/>
        <v>156.60000000000002</v>
      </c>
      <c r="J209" s="171">
        <f t="shared" si="437"/>
        <v>169.90000000000009</v>
      </c>
      <c r="K209" s="171">
        <f t="shared" si="437"/>
        <v>191.10000000000002</v>
      </c>
      <c r="L209" s="171">
        <f t="shared" ref="L209:M209" si="438">+L207+L205+L208</f>
        <v>199.8</v>
      </c>
      <c r="M209" s="171">
        <f t="shared" si="438"/>
        <v>191.5</v>
      </c>
      <c r="N209" s="171">
        <f>+N207+N205+N208</f>
        <v>271.50000000000006</v>
      </c>
      <c r="O209" s="171"/>
      <c r="P209" s="171"/>
      <c r="Q209" s="171"/>
      <c r="R209" s="171">
        <f t="shared" si="437"/>
        <v>0</v>
      </c>
      <c r="S209" s="113">
        <f>RATE(5,,-J209,N209)</f>
        <v>9.8285603937796562E-2</v>
      </c>
      <c r="T209" s="155"/>
      <c r="U209" s="113">
        <f>RATE(4,,-C209,G209)</f>
        <v>-9.7566354188506482E-2</v>
      </c>
      <c r="V209" s="155">
        <f t="shared" ref="V209:AC209" si="439">SUM(V198:V208)</f>
        <v>0</v>
      </c>
      <c r="W209" s="155">
        <f t="shared" si="439"/>
        <v>0</v>
      </c>
      <c r="X209" s="155">
        <f t="shared" si="439"/>
        <v>0</v>
      </c>
      <c r="Y209" s="155">
        <f t="shared" si="439"/>
        <v>0</v>
      </c>
      <c r="Z209" s="155">
        <f t="shared" si="439"/>
        <v>0</v>
      </c>
      <c r="AA209" s="155">
        <f t="shared" si="439"/>
        <v>0</v>
      </c>
      <c r="AB209" s="155">
        <f t="shared" si="439"/>
        <v>0</v>
      </c>
      <c r="AC209" s="155">
        <f t="shared" si="439"/>
        <v>0</v>
      </c>
    </row>
    <row r="210" spans="1:48" ht="15" hidden="1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113"/>
      <c r="T210" s="59"/>
      <c r="U210" s="59"/>
      <c r="V210" s="155"/>
      <c r="W210" s="155"/>
      <c r="X210" s="155"/>
      <c r="Y210" s="155"/>
      <c r="Z210" s="155"/>
      <c r="AA210" s="155"/>
      <c r="AB210" s="155"/>
      <c r="AC210" s="155"/>
    </row>
    <row r="211" spans="1:48" ht="15.75" hidden="1" x14ac:dyDescent="0.25">
      <c r="A211" s="164" t="s">
        <v>224</v>
      </c>
      <c r="B211" s="59"/>
      <c r="C211" s="59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77"/>
      <c r="S211" s="113"/>
      <c r="T211" s="59"/>
      <c r="U211" s="59"/>
      <c r="V211" s="155"/>
      <c r="W211" s="155"/>
      <c r="X211" s="155"/>
      <c r="Y211" s="155"/>
      <c r="Z211" s="155"/>
      <c r="AA211" s="155"/>
      <c r="AB211" s="155"/>
      <c r="AC211" s="155"/>
    </row>
    <row r="212" spans="1:48" ht="15.75" hidden="1" x14ac:dyDescent="0.25">
      <c r="A212" s="60" t="s">
        <v>221</v>
      </c>
      <c r="B212" s="171">
        <v>48.2</v>
      </c>
      <c r="C212" s="171">
        <v>50.2</v>
      </c>
      <c r="D212" s="171">
        <v>50.5</v>
      </c>
      <c r="E212" s="171">
        <v>57.5</v>
      </c>
      <c r="F212" s="171">
        <v>59.2</v>
      </c>
      <c r="G212" s="171">
        <v>63.5</v>
      </c>
      <c r="H212" s="171">
        <v>57.7</v>
      </c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85"/>
      <c r="T212" s="157"/>
      <c r="U212" s="166">
        <f>RATE(4,,-C212,G212)</f>
        <v>6.0516676257802729E-2</v>
      </c>
      <c r="V212" s="155" t="e">
        <f>+#REF!+V209</f>
        <v>#REF!</v>
      </c>
      <c r="W212" s="155" t="e">
        <f>+#REF!+W209</f>
        <v>#REF!</v>
      </c>
      <c r="X212" s="155" t="e">
        <f>+#REF!+X209</f>
        <v>#REF!</v>
      </c>
      <c r="Y212" s="155" t="e">
        <f>+#REF!+Y209</f>
        <v>#REF!</v>
      </c>
      <c r="Z212" s="155" t="e">
        <f>+#REF!+Z209</f>
        <v>#REF!</v>
      </c>
      <c r="AA212" s="155" t="e">
        <f>+#REF!+AA209</f>
        <v>#REF!</v>
      </c>
      <c r="AB212" s="155" t="e">
        <f>+#REF!+AB209</f>
        <v>#REF!</v>
      </c>
      <c r="AC212" s="155" t="e">
        <f>+#REF!+AC209</f>
        <v>#REF!</v>
      </c>
    </row>
    <row r="213" spans="1:48" ht="15.75" hidden="1" x14ac:dyDescent="0.25">
      <c r="A213" s="60" t="s">
        <v>222</v>
      </c>
      <c r="B213" s="169">
        <f>+B214-B212</f>
        <v>62.5</v>
      </c>
      <c r="C213" s="169">
        <f t="shared" ref="C213:H213" si="440">+C214-C212</f>
        <v>60.099999999999994</v>
      </c>
      <c r="D213" s="169">
        <f t="shared" si="440"/>
        <v>67.8</v>
      </c>
      <c r="E213" s="169">
        <f t="shared" si="440"/>
        <v>43.400000000000006</v>
      </c>
      <c r="F213" s="169">
        <f t="shared" si="440"/>
        <v>60.100000000000009</v>
      </c>
      <c r="G213" s="169">
        <f t="shared" si="440"/>
        <v>38.799999999999997</v>
      </c>
      <c r="H213" s="169">
        <f t="shared" si="440"/>
        <v>39.599999999999994</v>
      </c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95"/>
      <c r="T213" s="157"/>
      <c r="U213" s="166"/>
      <c r="V213" s="155"/>
      <c r="W213" s="155"/>
      <c r="X213" s="155"/>
      <c r="Y213" s="155"/>
      <c r="Z213" s="155"/>
      <c r="AA213" s="155"/>
      <c r="AB213" s="155"/>
      <c r="AC213" s="155"/>
    </row>
    <row r="214" spans="1:48" ht="15.75" hidden="1" x14ac:dyDescent="0.25">
      <c r="A214" s="60" t="s">
        <v>223</v>
      </c>
      <c r="B214" s="171">
        <f t="shared" ref="B214:J214" si="441">+AE156+AE157</f>
        <v>110.7</v>
      </c>
      <c r="C214" s="171">
        <f t="shared" si="441"/>
        <v>110.3</v>
      </c>
      <c r="D214" s="171">
        <f t="shared" si="441"/>
        <v>118.3</v>
      </c>
      <c r="E214" s="171">
        <f t="shared" si="441"/>
        <v>100.9</v>
      </c>
      <c r="F214" s="171">
        <f t="shared" si="441"/>
        <v>119.30000000000001</v>
      </c>
      <c r="G214" s="171">
        <f t="shared" si="441"/>
        <v>102.3</v>
      </c>
      <c r="H214" s="171">
        <f t="shared" si="441"/>
        <v>97.3</v>
      </c>
      <c r="I214" s="171">
        <f>+AL156+AL157</f>
        <v>103.9</v>
      </c>
      <c r="J214" s="171">
        <f t="shared" si="441"/>
        <v>0</v>
      </c>
      <c r="K214" s="171">
        <f>+AU156+AU157</f>
        <v>0</v>
      </c>
      <c r="L214" s="171"/>
      <c r="M214" s="171"/>
      <c r="N214" s="171"/>
      <c r="O214" s="171"/>
      <c r="P214" s="171"/>
      <c r="Q214" s="171"/>
      <c r="R214" s="171">
        <f>+AU156+AU157</f>
        <v>0</v>
      </c>
      <c r="S214" s="185"/>
      <c r="T214" s="175"/>
      <c r="U214" s="166"/>
      <c r="V214" s="155"/>
      <c r="W214" s="155"/>
      <c r="X214" s="155"/>
      <c r="Y214" s="155"/>
      <c r="Z214" s="155"/>
      <c r="AA214" s="155"/>
      <c r="AB214" s="155"/>
      <c r="AC214" s="155"/>
    </row>
    <row r="215" spans="1:48" ht="15" hidden="1" x14ac:dyDescent="0.2">
      <c r="A215" s="147"/>
      <c r="B215" s="111"/>
      <c r="C215" s="111"/>
      <c r="D215" s="171"/>
      <c r="E215" s="171"/>
      <c r="F215" s="171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77"/>
      <c r="S215" s="185"/>
      <c r="T215" s="59"/>
      <c r="U215" s="59"/>
      <c r="V215" s="155"/>
      <c r="W215" s="155"/>
      <c r="X215" s="155"/>
      <c r="Y215" s="155"/>
      <c r="Z215" s="155"/>
      <c r="AA215" s="155"/>
      <c r="AB215" s="155"/>
      <c r="AC215" s="155"/>
    </row>
    <row r="216" spans="1:48" ht="15.75" hidden="1" x14ac:dyDescent="0.25">
      <c r="A216" s="60" t="s">
        <v>220</v>
      </c>
      <c r="B216" s="111">
        <f t="shared" ref="B216:F216" si="442">+B194/B212</f>
        <v>4.6659751037344392</v>
      </c>
      <c r="C216" s="111">
        <f t="shared" si="442"/>
        <v>4.7808764940239037</v>
      </c>
      <c r="D216" s="111">
        <f>+D194/D212</f>
        <v>5.0178217821782178</v>
      </c>
      <c r="E216" s="111">
        <f t="shared" si="442"/>
        <v>4.7652173913043478</v>
      </c>
      <c r="F216" s="111">
        <f t="shared" si="442"/>
        <v>4.9763513513513518</v>
      </c>
      <c r="G216" s="111">
        <f>+G194/G212</f>
        <v>5.507086614173228</v>
      </c>
      <c r="H216" s="111">
        <f>+H194/H212</f>
        <v>5.5285961871750429</v>
      </c>
      <c r="I216" s="164"/>
      <c r="J216" s="164"/>
      <c r="K216" s="294"/>
      <c r="L216" s="294"/>
      <c r="M216" s="294"/>
      <c r="N216" s="294"/>
      <c r="O216" s="294"/>
      <c r="P216" s="294"/>
      <c r="Q216" s="294"/>
      <c r="R216" s="223"/>
      <c r="S216" s="185"/>
      <c r="T216" s="157"/>
      <c r="U216" s="113">
        <f>RATE(4,,-C216,G216)</f>
        <v>3.5985306044118336E-2</v>
      </c>
      <c r="V216" s="155"/>
      <c r="W216" s="155"/>
      <c r="X216" s="155"/>
      <c r="Y216" s="155"/>
      <c r="Z216" s="155"/>
      <c r="AA216" s="155"/>
      <c r="AB216" s="155"/>
      <c r="AC216" s="155"/>
    </row>
    <row r="217" spans="1:48" ht="15" hidden="1" x14ac:dyDescent="0.2">
      <c r="A217" s="59"/>
      <c r="B217" s="111"/>
      <c r="C217" s="142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77"/>
      <c r="S217" s="185"/>
      <c r="U217" s="155" t="e">
        <f>+#REF!+#REF!</f>
        <v>#REF!</v>
      </c>
      <c r="V217" s="155" t="e">
        <f t="shared" ref="V217:AC217" si="443">+V215+V212</f>
        <v>#REF!</v>
      </c>
      <c r="W217" s="155" t="e">
        <f t="shared" si="443"/>
        <v>#REF!</v>
      </c>
      <c r="X217" s="155" t="e">
        <f t="shared" si="443"/>
        <v>#REF!</v>
      </c>
      <c r="Y217" s="155" t="e">
        <f t="shared" si="443"/>
        <v>#REF!</v>
      </c>
      <c r="Z217" s="155" t="e">
        <f t="shared" si="443"/>
        <v>#REF!</v>
      </c>
      <c r="AA217" s="155" t="e">
        <f t="shared" si="443"/>
        <v>#REF!</v>
      </c>
      <c r="AB217" s="155" t="e">
        <f t="shared" si="443"/>
        <v>#REF!</v>
      </c>
      <c r="AC217" s="155" t="e">
        <f t="shared" si="443"/>
        <v>#REF!</v>
      </c>
    </row>
    <row r="218" spans="1:48" ht="15.75" hidden="1" x14ac:dyDescent="0.25">
      <c r="A218" s="139" t="s">
        <v>217</v>
      </c>
      <c r="B218" s="174">
        <f>(B98/1000)/B212</f>
        <v>6.6597510373443978E-3</v>
      </c>
      <c r="C218" s="174">
        <f t="shared" ref="C218:H218" si="444">(C98/C212)</f>
        <v>6.2490039840637444</v>
      </c>
      <c r="D218" s="174">
        <f t="shared" si="444"/>
        <v>6.4811881188118816</v>
      </c>
      <c r="E218" s="174">
        <f t="shared" si="444"/>
        <v>6.0469565217391299</v>
      </c>
      <c r="F218" s="174">
        <f t="shared" si="444"/>
        <v>6.2652027027027017</v>
      </c>
      <c r="G218" s="174">
        <f t="shared" si="444"/>
        <v>6.6677165354330707</v>
      </c>
      <c r="H218" s="174">
        <f t="shared" si="444"/>
        <v>6.8197573656845751</v>
      </c>
      <c r="I218" s="174"/>
      <c r="J218" s="174"/>
      <c r="K218" s="224"/>
      <c r="L218" s="224"/>
      <c r="M218" s="224"/>
      <c r="N218" s="224"/>
      <c r="O218" s="224"/>
      <c r="P218" s="224"/>
      <c r="Q218" s="224"/>
      <c r="R218" s="224"/>
      <c r="S218" s="246"/>
      <c r="U218" s="155"/>
      <c r="V218" s="155"/>
      <c r="W218" s="155"/>
      <c r="X218" s="155"/>
      <c r="Y218" s="155"/>
      <c r="Z218" s="155"/>
      <c r="AA218" s="155"/>
      <c r="AB218" s="155"/>
      <c r="AC218" s="155"/>
    </row>
    <row r="219" spans="1:48" ht="15.75" hidden="1" x14ac:dyDescent="0.25">
      <c r="A219" s="139" t="s">
        <v>218</v>
      </c>
      <c r="B219" s="174">
        <f>(B97/1000)/B213</f>
        <v>4.8896000000000009E-3</v>
      </c>
      <c r="C219" s="174">
        <f t="shared" ref="C219:H219" si="445">(C97/C213)</f>
        <v>4.6339434276206326</v>
      </c>
      <c r="D219" s="174">
        <f t="shared" si="445"/>
        <v>4.6961651917404126</v>
      </c>
      <c r="E219" s="174">
        <f t="shared" si="445"/>
        <v>4.2764976958525338</v>
      </c>
      <c r="F219" s="174">
        <f t="shared" si="445"/>
        <v>4.6539101497504154</v>
      </c>
      <c r="G219" s="174">
        <f t="shared" si="445"/>
        <v>4.6752577319587632</v>
      </c>
      <c r="H219" s="174">
        <f t="shared" si="445"/>
        <v>4.1565656565656575</v>
      </c>
      <c r="I219" s="174"/>
      <c r="J219" s="174"/>
      <c r="K219" s="224"/>
      <c r="L219" s="224"/>
      <c r="M219" s="224"/>
      <c r="N219" s="224"/>
      <c r="O219" s="224"/>
      <c r="P219" s="224"/>
      <c r="Q219" s="224"/>
      <c r="R219" s="224"/>
      <c r="S219" s="246"/>
      <c r="U219" s="155"/>
      <c r="V219" s="155"/>
      <c r="W219" s="155"/>
      <c r="X219" s="155"/>
      <c r="Y219" s="155"/>
      <c r="Z219" s="155"/>
      <c r="AA219" s="155"/>
      <c r="AB219" s="155"/>
      <c r="AC219" s="155"/>
    </row>
    <row r="220" spans="1:48" ht="15.75" hidden="1" x14ac:dyDescent="0.25">
      <c r="A220" s="139"/>
      <c r="B220" s="174"/>
      <c r="C220" s="17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46"/>
      <c r="U220" s="155"/>
      <c r="V220" s="155"/>
      <c r="W220" s="155"/>
      <c r="X220" s="155"/>
      <c r="Y220" s="155"/>
      <c r="Z220" s="155"/>
      <c r="AA220" s="155"/>
      <c r="AB220" s="155"/>
      <c r="AC220" s="155"/>
    </row>
    <row r="221" spans="1:48" ht="15.75" hidden="1" x14ac:dyDescent="0.25">
      <c r="A221" s="139" t="s">
        <v>219</v>
      </c>
      <c r="B221" s="174">
        <f>(+B93/1000)/B214</f>
        <v>5.6603432700993682E-3</v>
      </c>
      <c r="C221" s="174">
        <f t="shared" ref="C221:I221" si="446">(+C93/C214)</f>
        <v>5.3689936536718044</v>
      </c>
      <c r="D221" s="174">
        <f t="shared" si="446"/>
        <v>5.4581572273879972</v>
      </c>
      <c r="E221" s="174">
        <f t="shared" si="446"/>
        <v>5.2854311199207125</v>
      </c>
      <c r="F221" s="174">
        <f t="shared" si="446"/>
        <v>5.4534786253143333</v>
      </c>
      <c r="G221" s="174">
        <f t="shared" si="446"/>
        <v>5.9120234604105573</v>
      </c>
      <c r="H221" s="174">
        <f t="shared" si="446"/>
        <v>5.7358684480986639</v>
      </c>
      <c r="I221" s="174">
        <f t="shared" si="446"/>
        <v>5.2175168431183829</v>
      </c>
      <c r="J221" s="174" t="e">
        <f>(+J93/J214)</f>
        <v>#DIV/0!</v>
      </c>
      <c r="K221" s="174" t="e">
        <f t="shared" ref="K221:R221" si="447">(+K93/K214)</f>
        <v>#DIV/0!</v>
      </c>
      <c r="L221" s="174" t="e">
        <f t="shared" si="447"/>
        <v>#DIV/0!</v>
      </c>
      <c r="M221" s="174" t="e">
        <f t="shared" ref="M221" si="448">(+M93/M214)</f>
        <v>#DIV/0!</v>
      </c>
      <c r="N221" s="174"/>
      <c r="O221" s="174"/>
      <c r="P221" s="174"/>
      <c r="Q221" s="174"/>
      <c r="R221" s="174" t="e">
        <f t="shared" si="447"/>
        <v>#DIV/0!</v>
      </c>
      <c r="S221" s="246"/>
      <c r="T221" s="33" t="e">
        <f>RATE(5,,-E221,R221)</f>
        <v>#DIV/0!</v>
      </c>
      <c r="U221" s="59"/>
      <c r="V221" s="59"/>
      <c r="W221" s="59"/>
      <c r="X221" s="59"/>
      <c r="Y221" s="59"/>
      <c r="Z221" s="59"/>
      <c r="AA221" s="59"/>
      <c r="AB221" s="59"/>
      <c r="AC221" s="59"/>
    </row>
    <row r="222" spans="1:48" ht="15.75" hidden="1" x14ac:dyDescent="0.25">
      <c r="A222" s="59"/>
      <c r="B222" s="59"/>
      <c r="C222" s="59"/>
      <c r="D222" s="221">
        <f t="shared" ref="D222:J222" si="449">+D215/D214</f>
        <v>0</v>
      </c>
      <c r="E222" s="221">
        <f t="shared" si="449"/>
        <v>0</v>
      </c>
      <c r="F222" s="221">
        <f t="shared" si="449"/>
        <v>0</v>
      </c>
      <c r="G222" s="221">
        <f t="shared" si="449"/>
        <v>0</v>
      </c>
      <c r="H222" s="221">
        <f t="shared" si="449"/>
        <v>0</v>
      </c>
      <c r="I222" s="221">
        <f t="shared" si="449"/>
        <v>0</v>
      </c>
      <c r="J222" s="221" t="e">
        <f t="shared" si="449"/>
        <v>#DIV/0!</v>
      </c>
      <c r="K222" s="221" t="e">
        <f t="shared" ref="K222:R222" si="450">+K215/K214</f>
        <v>#DIV/0!</v>
      </c>
      <c r="L222" s="221" t="e">
        <f t="shared" si="450"/>
        <v>#DIV/0!</v>
      </c>
      <c r="M222" s="221" t="e">
        <f t="shared" ref="M222" si="451">+M215/M214</f>
        <v>#DIV/0!</v>
      </c>
      <c r="N222" s="221"/>
      <c r="O222" s="221"/>
      <c r="P222" s="221"/>
      <c r="Q222" s="221"/>
      <c r="R222" s="221" t="e">
        <f t="shared" si="450"/>
        <v>#DIV/0!</v>
      </c>
      <c r="S222" s="59"/>
      <c r="U222" s="161"/>
      <c r="V222" s="161"/>
      <c r="W222" s="161"/>
      <c r="X222" s="161"/>
      <c r="Y222" s="161"/>
      <c r="Z222" s="161"/>
      <c r="AA222" s="162">
        <f>(+AA178-Z178)/Z178</f>
        <v>-1.3925152306353425E-2</v>
      </c>
      <c r="AB222" s="162">
        <f>(+AB178-AA178)/AA178</f>
        <v>2.647837599293885E-3</v>
      </c>
      <c r="AC222" s="162">
        <f>(+AC178-AB178)/AB178</f>
        <v>-2.464788732394364E-2</v>
      </c>
    </row>
    <row r="223" spans="1:48" hidden="1" x14ac:dyDescent="0.2"/>
    <row r="224" spans="1:48" ht="15" hidden="1" x14ac:dyDescent="0.2">
      <c r="A224" s="59" t="s">
        <v>161</v>
      </c>
      <c r="B224" s="106" t="e">
        <f>(+B94-#REF!)/#REF!</f>
        <v>#REF!</v>
      </c>
      <c r="C224" s="106">
        <f t="shared" ref="C224:J224" si="452">(+C94-B94)/B94</f>
        <v>-1.8480269594521141E-2</v>
      </c>
      <c r="D224" s="106">
        <f t="shared" si="452"/>
        <v>7.2987041754347073E-2</v>
      </c>
      <c r="E224" s="106">
        <f t="shared" si="452"/>
        <v>-0.1100330305532619</v>
      </c>
      <c r="F224" s="106">
        <f t="shared" si="452"/>
        <v>0.1433542101600557</v>
      </c>
      <c r="G224" s="106">
        <f t="shared" si="452"/>
        <v>-2.525867315885573E-2</v>
      </c>
      <c r="H224" s="106">
        <f t="shared" si="452"/>
        <v>-4.5061921115620726E-2</v>
      </c>
      <c r="I224" s="106">
        <f t="shared" si="452"/>
        <v>4.0322580645160543E-3</v>
      </c>
      <c r="J224" s="106">
        <f t="shared" si="452"/>
        <v>2.7895365244762885E-2</v>
      </c>
      <c r="K224" s="106">
        <f>(+K94-J94)/J94</f>
        <v>-3.1045406546990471E-2</v>
      </c>
      <c r="L224" s="106">
        <f>(+L94-K94)/K94</f>
        <v>1.2423714036617238E-2</v>
      </c>
      <c r="M224" s="106">
        <f>(+M94-L94)/L94</f>
        <v>-3.2292787944020938E-4</v>
      </c>
      <c r="N224" s="106">
        <f>(+N94-M94)/M94</f>
        <v>8.2803919457305877E-2</v>
      </c>
      <c r="O224" s="106">
        <f t="shared" ref="O224:Q224" si="453">(+O94-N94)/N94</f>
        <v>0.31105807478122521</v>
      </c>
      <c r="P224" s="106">
        <f t="shared" si="453"/>
        <v>0.26206007281553395</v>
      </c>
      <c r="Q224" s="106">
        <f t="shared" si="453"/>
        <v>-0.14652322855940872</v>
      </c>
      <c r="R224" s="106"/>
      <c r="S224" s="113">
        <f>AVERAGE(M224:Q224)</f>
        <v>0.10181518212304322</v>
      </c>
      <c r="T224" s="59" t="s">
        <v>158</v>
      </c>
      <c r="U224" s="59"/>
      <c r="V224" s="59"/>
      <c r="W224" s="59"/>
      <c r="X224" s="59"/>
      <c r="Y224" s="59"/>
      <c r="Z224" s="111">
        <f t="shared" ref="Z224:AK224" si="454">+Z171-Z175</f>
        <v>2.12</v>
      </c>
      <c r="AA224" s="111">
        <f t="shared" si="454"/>
        <v>2.5499999999999998</v>
      </c>
      <c r="AB224" s="111">
        <f t="shared" si="454"/>
        <v>3.13</v>
      </c>
      <c r="AC224" s="111">
        <f t="shared" si="454"/>
        <v>2.33</v>
      </c>
      <c r="AD224" s="111">
        <f t="shared" si="454"/>
        <v>2.1100000000000003</v>
      </c>
      <c r="AE224" s="111">
        <f t="shared" si="454"/>
        <v>2.9800000000000004</v>
      </c>
      <c r="AF224" s="111">
        <f t="shared" si="454"/>
        <v>2.54</v>
      </c>
      <c r="AG224" s="111">
        <f t="shared" si="454"/>
        <v>2.83</v>
      </c>
      <c r="AH224" s="111">
        <f t="shared" si="454"/>
        <v>3.42</v>
      </c>
      <c r="AI224" s="111">
        <f t="shared" si="454"/>
        <v>2.92</v>
      </c>
      <c r="AJ224" s="111">
        <f t="shared" si="454"/>
        <v>2.9499999999999993</v>
      </c>
      <c r="AK224" s="111">
        <f t="shared" si="454"/>
        <v>3.96</v>
      </c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>
        <f>+AU171-AU175</f>
        <v>0</v>
      </c>
      <c r="AV224" s="159">
        <f>AVERAGE(AG224:AK224)</f>
        <v>3.2159999999999997</v>
      </c>
    </row>
    <row r="225" spans="1:48" ht="15" hidden="1" x14ac:dyDescent="0.2">
      <c r="A225" s="59" t="s">
        <v>209</v>
      </c>
      <c r="B225" s="106">
        <f t="shared" ref="B225:G226" si="455">+B97/(B$97+B$98)</f>
        <v>0.48771145866581556</v>
      </c>
      <c r="C225" s="106">
        <f t="shared" si="455"/>
        <v>0.47028031070584259</v>
      </c>
      <c r="D225" s="106">
        <f t="shared" si="455"/>
        <v>0.49310825460740276</v>
      </c>
      <c r="E225" s="106">
        <f t="shared" si="455"/>
        <v>0.34802175135946001</v>
      </c>
      <c r="F225" s="106">
        <f t="shared" si="455"/>
        <v>0.42991085152167235</v>
      </c>
      <c r="G225" s="106">
        <f t="shared" si="455"/>
        <v>0.29993386243386244</v>
      </c>
      <c r="H225" s="106">
        <f t="shared" ref="H225:J226" si="456">+H97/(H$97+H$98)</f>
        <v>0.29492922415337752</v>
      </c>
      <c r="I225" s="106">
        <f t="shared" si="456"/>
        <v>0.27873086146467441</v>
      </c>
      <c r="J225" s="106">
        <f t="shared" si="456"/>
        <v>0.29942383867482891</v>
      </c>
      <c r="K225" s="106">
        <f t="shared" ref="K225" si="457">+K97/(K$97+K$98)</f>
        <v>0.24726724462872221</v>
      </c>
      <c r="L225" s="106">
        <f t="shared" ref="L225:M225" si="458">+L97/(L$97+L$98)</f>
        <v>0.26516329704510111</v>
      </c>
      <c r="M225" s="106">
        <f t="shared" si="458"/>
        <v>0.3029754724567752</v>
      </c>
      <c r="N225" s="106">
        <f t="shared" ref="N225" si="459">+N97/(N$97+N$98)</f>
        <v>0.38690688547984303</v>
      </c>
      <c r="O225" s="106">
        <f t="shared" ref="O225:P225" si="460">+O97/(O$97+O$98)</f>
        <v>0.54349893035417163</v>
      </c>
      <c r="P225" s="106">
        <f t="shared" si="460"/>
        <v>0.67227115025353612</v>
      </c>
      <c r="Q225" s="106">
        <f t="shared" ref="Q225" si="461">+Q97/(Q$97+Q$98)</f>
        <v>0.62548929311535795</v>
      </c>
      <c r="R225" s="106">
        <f>+R97/(R$97+R$98)</f>
        <v>0.56133333333333335</v>
      </c>
      <c r="S225" s="113">
        <f t="shared" ref="S225:S228" si="462">AVERAGE(M225:Q225)</f>
        <v>0.50622834633193681</v>
      </c>
      <c r="T225" s="59" t="s">
        <v>159</v>
      </c>
      <c r="U225" s="59"/>
      <c r="V225" s="59"/>
      <c r="W225" s="59"/>
      <c r="X225" s="59"/>
      <c r="Y225" s="59"/>
      <c r="Z225" s="111">
        <f t="shared" ref="Z225:AK225" si="463">+Z172-Z175</f>
        <v>0.35999999999999943</v>
      </c>
      <c r="AA225" s="111">
        <f t="shared" si="463"/>
        <v>0.59999999999999964</v>
      </c>
      <c r="AB225" s="111">
        <f t="shared" si="463"/>
        <v>1.0999999999999996</v>
      </c>
      <c r="AC225" s="111">
        <f t="shared" si="463"/>
        <v>0.25</v>
      </c>
      <c r="AD225" s="111">
        <f t="shared" si="463"/>
        <v>0.85000000000000053</v>
      </c>
      <c r="AE225" s="111">
        <f t="shared" si="463"/>
        <v>1.4900000000000002</v>
      </c>
      <c r="AF225" s="111">
        <f t="shared" si="463"/>
        <v>0.54999999999999982</v>
      </c>
      <c r="AG225" s="111">
        <f t="shared" si="463"/>
        <v>0.98000000000000043</v>
      </c>
      <c r="AH225" s="111">
        <f t="shared" si="463"/>
        <v>1.0200000000000005</v>
      </c>
      <c r="AI225" s="111">
        <f t="shared" si="463"/>
        <v>1.4699999999999998</v>
      </c>
      <c r="AJ225" s="111">
        <f t="shared" si="463"/>
        <v>1.1599999999999993</v>
      </c>
      <c r="AK225" s="111">
        <f t="shared" si="463"/>
        <v>2.17</v>
      </c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>
        <f>+AU172-AU175</f>
        <v>0</v>
      </c>
      <c r="AV225" s="159">
        <f>AVERAGE(AG225:AK225)</f>
        <v>1.3599999999999999</v>
      </c>
    </row>
    <row r="226" spans="1:48" ht="15.75" hidden="1" x14ac:dyDescent="0.25">
      <c r="A226" s="138" t="s">
        <v>210</v>
      </c>
      <c r="B226" s="140">
        <f t="shared" si="455"/>
        <v>0.51228854133418444</v>
      </c>
      <c r="C226" s="140">
        <f t="shared" si="455"/>
        <v>0.52971968929415736</v>
      </c>
      <c r="D226" s="140">
        <f t="shared" si="455"/>
        <v>0.50689174539259718</v>
      </c>
      <c r="E226" s="140">
        <f t="shared" si="455"/>
        <v>0.6519782486405401</v>
      </c>
      <c r="F226" s="140">
        <f t="shared" si="455"/>
        <v>0.5700891484783277</v>
      </c>
      <c r="G226" s="140">
        <f t="shared" si="455"/>
        <v>0.70006613756613756</v>
      </c>
      <c r="H226" s="140">
        <f t="shared" si="456"/>
        <v>0.70507077584662248</v>
      </c>
      <c r="I226" s="140">
        <f t="shared" si="456"/>
        <v>0.72126913853532559</v>
      </c>
      <c r="J226" s="140">
        <f t="shared" si="456"/>
        <v>0.70057616132517098</v>
      </c>
      <c r="K226" s="140">
        <f t="shared" ref="K226" si="464">+K98/(K$97+K$98)</f>
        <v>0.75273275537127793</v>
      </c>
      <c r="L226" s="140">
        <f t="shared" ref="L226:M226" si="465">+L98/(L$97+L$98)</f>
        <v>0.734836702954899</v>
      </c>
      <c r="M226" s="140">
        <f t="shared" si="465"/>
        <v>0.69702452754322475</v>
      </c>
      <c r="N226" s="140">
        <f t="shared" ref="N226" si="466">+N98/(N$97+N$98)</f>
        <v>0.61309311452015702</v>
      </c>
      <c r="O226" s="140">
        <f t="shared" ref="O226:P226" si="467">+O98/(O$97+O$98)</f>
        <v>0.45650106964582832</v>
      </c>
      <c r="P226" s="140">
        <f t="shared" si="467"/>
        <v>0.32772884974646377</v>
      </c>
      <c r="Q226" s="140">
        <f t="shared" ref="Q226" si="468">+Q98/(Q$97+Q$98)</f>
        <v>0.374510706884642</v>
      </c>
      <c r="R226" s="140">
        <f>+R98/(R$97+R$98)</f>
        <v>0.43866666666666665</v>
      </c>
      <c r="S226" s="113">
        <f t="shared" si="462"/>
        <v>0.49377165366806314</v>
      </c>
      <c r="T226" s="59" t="s">
        <v>163</v>
      </c>
      <c r="U226" s="59"/>
      <c r="V226" s="59"/>
      <c r="W226" s="59"/>
      <c r="X226" s="59"/>
      <c r="Y226" s="59"/>
      <c r="Z226" s="112">
        <f t="shared" ref="Z226:AF226" si="469">+Z224-Z225</f>
        <v>1.7600000000000007</v>
      </c>
      <c r="AA226" s="112">
        <f t="shared" si="469"/>
        <v>1.9500000000000002</v>
      </c>
      <c r="AB226" s="112">
        <f t="shared" si="469"/>
        <v>2.0300000000000002</v>
      </c>
      <c r="AC226" s="112">
        <f t="shared" si="469"/>
        <v>2.08</v>
      </c>
      <c r="AD226" s="112">
        <f t="shared" si="469"/>
        <v>1.2599999999999998</v>
      </c>
      <c r="AE226" s="112">
        <f t="shared" si="469"/>
        <v>1.4900000000000002</v>
      </c>
      <c r="AF226" s="112">
        <f t="shared" si="469"/>
        <v>1.9900000000000002</v>
      </c>
      <c r="AG226" s="112">
        <f>+AG224-AG225</f>
        <v>1.8499999999999996</v>
      </c>
      <c r="AH226" s="112">
        <f>+AH224-AH225</f>
        <v>2.3999999999999995</v>
      </c>
      <c r="AI226" s="112">
        <f>+AI224-AI225</f>
        <v>1.4500000000000002</v>
      </c>
      <c r="AJ226" s="112">
        <f>+AJ224-AJ225</f>
        <v>1.79</v>
      </c>
      <c r="AK226" s="112">
        <f>+AK224-AK225</f>
        <v>1.79</v>
      </c>
      <c r="AL226" s="112"/>
      <c r="AM226" s="112"/>
      <c r="AN226" s="112"/>
      <c r="AO226" s="112"/>
      <c r="AP226" s="112"/>
      <c r="AQ226" s="112"/>
      <c r="AR226" s="112"/>
      <c r="AS226" s="112"/>
      <c r="AT226" s="112"/>
      <c r="AU226" s="112">
        <f>+AU224-AU225</f>
        <v>0</v>
      </c>
      <c r="AV226" s="159">
        <f>AVERAGE(AG226:AK226)</f>
        <v>1.8559999999999999</v>
      </c>
    </row>
    <row r="227" spans="1:48" ht="15" hidden="1" x14ac:dyDescent="0.2">
      <c r="A227" s="59" t="s">
        <v>137</v>
      </c>
      <c r="B227" s="113">
        <f t="shared" ref="B227:R227" si="470">+B148</f>
        <v>0.31883900423959133</v>
      </c>
      <c r="C227" s="113">
        <f t="shared" si="470"/>
        <v>0.34411341233802201</v>
      </c>
      <c r="D227" s="113">
        <f t="shared" si="470"/>
        <v>0.33350536746490511</v>
      </c>
      <c r="E227" s="113">
        <f t="shared" si="470"/>
        <v>0.3814660171653908</v>
      </c>
      <c r="F227" s="113">
        <f t="shared" si="470"/>
        <v>0.34002840332724688</v>
      </c>
      <c r="G227" s="113">
        <f t="shared" si="470"/>
        <v>0.37059007180768033</v>
      </c>
      <c r="H227" s="113">
        <f t="shared" ref="H227:M227" si="471">+H148</f>
        <v>0.39178291194420228</v>
      </c>
      <c r="I227" s="113">
        <f t="shared" si="471"/>
        <v>0.41159231520677297</v>
      </c>
      <c r="J227" s="113">
        <f t="shared" si="471"/>
        <v>0.41351636747624076</v>
      </c>
      <c r="K227" s="113">
        <f t="shared" si="471"/>
        <v>0.4217523975588493</v>
      </c>
      <c r="L227" s="113">
        <f t="shared" si="471"/>
        <v>0.44628632938643714</v>
      </c>
      <c r="M227" s="113">
        <f t="shared" si="471"/>
        <v>0.46441261979110582</v>
      </c>
      <c r="N227" s="113">
        <f t="shared" ref="N227" si="472">+N148</f>
        <v>0.44252187748607796</v>
      </c>
      <c r="O227" s="113">
        <f t="shared" ref="O227:P227" si="473">+O148</f>
        <v>0.36180218446601942</v>
      </c>
      <c r="P227" s="113">
        <f t="shared" si="473"/>
        <v>0.32441853476771454</v>
      </c>
      <c r="Q227" s="113">
        <f t="shared" ref="Q227" si="474">+Q148</f>
        <v>0.38835293289204981</v>
      </c>
      <c r="R227" s="113">
        <f t="shared" si="470"/>
        <v>0.51057165231010182</v>
      </c>
      <c r="S227" s="113">
        <f t="shared" si="462"/>
        <v>0.39630162988059359</v>
      </c>
      <c r="T227" s="59"/>
      <c r="U227" s="59"/>
      <c r="V227" s="59"/>
      <c r="W227" s="59"/>
      <c r="X227" s="59"/>
      <c r="Y227" s="59"/>
    </row>
    <row r="228" spans="1:48" ht="15" hidden="1" x14ac:dyDescent="0.2">
      <c r="A228" s="59" t="s">
        <v>162</v>
      </c>
      <c r="B228" s="106" t="e">
        <f>(+B116-#REF!)/#REF!</f>
        <v>#REF!</v>
      </c>
      <c r="C228" s="106">
        <f t="shared" ref="C228:J228" si="475">(+C116-B116)/B116</f>
        <v>0.66287878787877574</v>
      </c>
      <c r="D228" s="106">
        <f t="shared" si="475"/>
        <v>5.0113895216400951E-2</v>
      </c>
      <c r="E228" s="106">
        <f t="shared" si="475"/>
        <v>2.1691973969627836E-2</v>
      </c>
      <c r="F228" s="106">
        <f t="shared" si="475"/>
        <v>0.12101910828025744</v>
      </c>
      <c r="G228" s="106">
        <f t="shared" si="475"/>
        <v>4.5454545454547871E-2</v>
      </c>
      <c r="H228" s="106">
        <f t="shared" si="475"/>
        <v>0.16485507246376643</v>
      </c>
      <c r="I228" s="106">
        <f t="shared" si="475"/>
        <v>-0.11041990668740433</v>
      </c>
      <c r="J228" s="106">
        <f t="shared" si="475"/>
        <v>0.18006993006993088</v>
      </c>
      <c r="K228" s="106">
        <f>(+K116-J116)/J116</f>
        <v>0.23703703703703952</v>
      </c>
      <c r="L228" s="106">
        <f>(+L116-K116)/K116</f>
        <v>0.1233532934131743</v>
      </c>
      <c r="M228" s="106">
        <f>(+M116-L116)/L116</f>
        <v>0.25159914712153447</v>
      </c>
      <c r="N228" s="106">
        <f>(+N116-M116)/M116</f>
        <v>4.5144804088583762E-2</v>
      </c>
      <c r="O228" s="106">
        <f t="shared" ref="O228:Q228" si="476">(+O116-N116)/N116</f>
        <v>5.0529747351265045E-2</v>
      </c>
      <c r="P228" s="106">
        <f t="shared" si="476"/>
        <v>0.12024825446082311</v>
      </c>
      <c r="Q228" s="106">
        <f t="shared" si="476"/>
        <v>-9.279778393351848E-2</v>
      </c>
      <c r="R228" s="106">
        <f>(+R116-G116)/G116</f>
        <v>0.12681159420289484</v>
      </c>
      <c r="S228" s="113">
        <f t="shared" si="462"/>
        <v>7.4944833817737574E-2</v>
      </c>
      <c r="T228" s="59" t="str">
        <f>+T178</f>
        <v>Temp Adjusted Usage / Cust (Dth)</v>
      </c>
      <c r="AC228" s="35">
        <f t="shared" ref="AC228:AK228" si="477">(+AC178-AB178)/AB178</f>
        <v>-2.464788732394364E-2</v>
      </c>
      <c r="AD228" s="35">
        <f t="shared" si="477"/>
        <v>-8.1227436823103922E-3</v>
      </c>
      <c r="AE228" s="35">
        <f t="shared" si="477"/>
        <v>-8.1892629663330805E-3</v>
      </c>
      <c r="AF228" s="35">
        <f t="shared" si="477"/>
        <v>-1.9266055045871509E-2</v>
      </c>
      <c r="AG228" s="35">
        <f t="shared" si="477"/>
        <v>3.9289055191767897E-2</v>
      </c>
      <c r="AH228" s="35">
        <f t="shared" si="477"/>
        <v>-2.4302430243024201E-2</v>
      </c>
      <c r="AI228" s="35">
        <f t="shared" si="477"/>
        <v>-3.6900369003690561E-3</v>
      </c>
      <c r="AJ228" s="35">
        <f t="shared" si="477"/>
        <v>8.3333333333333853E-3</v>
      </c>
      <c r="AK228" s="35">
        <f t="shared" si="477"/>
        <v>-5.1423324150596951E-2</v>
      </c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112"/>
    </row>
    <row r="229" spans="1:48" ht="15" hidden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33"/>
    </row>
    <row r="230" spans="1:48" ht="15" hidden="1" x14ac:dyDescent="0.2">
      <c r="A230" s="59" t="s">
        <v>167</v>
      </c>
      <c r="B230" s="77" t="e">
        <f>+B123-#REF!</f>
        <v>#REF!</v>
      </c>
      <c r="C230" s="168">
        <f>+C123-B123</f>
        <v>0.60000000000000142</v>
      </c>
      <c r="D230" s="168">
        <f t="shared" ref="D230:J230" si="478">+D123-C123</f>
        <v>1.5</v>
      </c>
      <c r="E230" s="168">
        <f>+E123-D123</f>
        <v>2.6999999999999993</v>
      </c>
      <c r="F230" s="168">
        <f t="shared" si="478"/>
        <v>2.5</v>
      </c>
      <c r="G230" s="168">
        <f t="shared" si="478"/>
        <v>0.5</v>
      </c>
      <c r="H230" s="168">
        <f t="shared" si="478"/>
        <v>2</v>
      </c>
      <c r="I230" s="168">
        <f t="shared" si="478"/>
        <v>-8</v>
      </c>
      <c r="J230" s="168">
        <f t="shared" si="478"/>
        <v>-30</v>
      </c>
      <c r="K230" s="168">
        <f>+K123-J123</f>
        <v>0</v>
      </c>
      <c r="L230" s="168">
        <f>+L123-K123</f>
        <v>0</v>
      </c>
      <c r="M230" s="168">
        <f>+M123-L123</f>
        <v>0</v>
      </c>
      <c r="N230" s="168">
        <f>+N123-M123</f>
        <v>100</v>
      </c>
      <c r="O230" s="168">
        <f t="shared" ref="O230:Q230" si="479">+O123-N123</f>
        <v>-100</v>
      </c>
      <c r="P230" s="168">
        <f t="shared" si="479"/>
        <v>20</v>
      </c>
      <c r="Q230" s="168">
        <f t="shared" si="479"/>
        <v>80</v>
      </c>
      <c r="R230" s="206"/>
      <c r="S230" s="98"/>
    </row>
    <row r="231" spans="1:48" ht="15" hidden="1" x14ac:dyDescent="0.2">
      <c r="A231" s="59" t="s">
        <v>168</v>
      </c>
      <c r="B231" s="35" t="e">
        <f>+B230/#REF!</f>
        <v>#REF!</v>
      </c>
      <c r="C231" s="106">
        <f t="shared" ref="C231:J231" si="480">+C230/B123</f>
        <v>2.1276595744680903E-2</v>
      </c>
      <c r="D231" s="106">
        <f t="shared" si="480"/>
        <v>5.2083333333333329E-2</v>
      </c>
      <c r="E231" s="106">
        <f t="shared" si="480"/>
        <v>8.9108910891089077E-2</v>
      </c>
      <c r="F231" s="106">
        <f t="shared" si="480"/>
        <v>7.575757575757576E-2</v>
      </c>
      <c r="G231" s="106">
        <f t="shared" si="480"/>
        <v>1.4084507042253521E-2</v>
      </c>
      <c r="H231" s="106">
        <f t="shared" si="480"/>
        <v>5.5555555555555552E-2</v>
      </c>
      <c r="I231" s="106">
        <f t="shared" si="480"/>
        <v>-0.21052631578947367</v>
      </c>
      <c r="J231" s="106">
        <f t="shared" si="480"/>
        <v>-1</v>
      </c>
      <c r="K231" s="106" t="e">
        <f>+K230/J123</f>
        <v>#DIV/0!</v>
      </c>
      <c r="L231" s="106" t="e">
        <f>+L230/K123</f>
        <v>#DIV/0!</v>
      </c>
      <c r="M231" s="106" t="e">
        <f>+M230/L123</f>
        <v>#DIV/0!</v>
      </c>
      <c r="N231" s="106" t="e">
        <f>+N230/M123</f>
        <v>#DIV/0!</v>
      </c>
      <c r="O231" s="106">
        <f t="shared" ref="O231:Q231" si="481">+O230/N123</f>
        <v>-1</v>
      </c>
      <c r="P231" s="106" t="e">
        <f t="shared" si="481"/>
        <v>#DIV/0!</v>
      </c>
      <c r="Q231" s="106">
        <f t="shared" si="481"/>
        <v>4</v>
      </c>
      <c r="R231" s="106"/>
      <c r="S231" s="113"/>
    </row>
    <row r="232" spans="1:48" ht="15" hidden="1" x14ac:dyDescent="0.2">
      <c r="A232" s="59" t="s">
        <v>198</v>
      </c>
      <c r="B232" s="35">
        <f t="shared" ref="B232:R232" si="482">+B123/B116</f>
        <v>1.0681818181818099</v>
      </c>
      <c r="C232" s="106">
        <f t="shared" si="482"/>
        <v>0.65603644646924797</v>
      </c>
      <c r="D232" s="106">
        <f t="shared" si="482"/>
        <v>0.65726681127982611</v>
      </c>
      <c r="E232" s="106">
        <f t="shared" si="482"/>
        <v>0.70063694267516119</v>
      </c>
      <c r="F232" s="106">
        <f t="shared" si="482"/>
        <v>0.6723484848484852</v>
      </c>
      <c r="G232" s="106">
        <f t="shared" si="482"/>
        <v>0.65217391304347705</v>
      </c>
      <c r="H232" s="106">
        <f t="shared" ref="H232:M232" si="483">+H123/H116</f>
        <v>0.59097978227060632</v>
      </c>
      <c r="I232" s="106">
        <f t="shared" si="483"/>
        <v>0.52447552447552515</v>
      </c>
      <c r="J232" s="106">
        <f t="shared" si="483"/>
        <v>0</v>
      </c>
      <c r="K232" s="106">
        <f t="shared" si="483"/>
        <v>0</v>
      </c>
      <c r="L232" s="106">
        <f t="shared" si="483"/>
        <v>0</v>
      </c>
      <c r="M232" s="106">
        <f t="shared" si="483"/>
        <v>0</v>
      </c>
      <c r="N232" s="106">
        <f t="shared" ref="N232" si="484">+N123/N116</f>
        <v>0.81499592502037554</v>
      </c>
      <c r="O232" s="106">
        <f t="shared" ref="O232:P232" si="485">+O123/O116</f>
        <v>0</v>
      </c>
      <c r="P232" s="106">
        <f t="shared" si="485"/>
        <v>0.13850415512465353</v>
      </c>
      <c r="Q232" s="106">
        <f t="shared" ref="Q232" si="486">+Q123/Q116</f>
        <v>0.76335877862595336</v>
      </c>
      <c r="R232" s="106">
        <f t="shared" si="482"/>
        <v>0</v>
      </c>
      <c r="S232" s="113"/>
    </row>
    <row r="233" spans="1:48" ht="15" hidden="1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33"/>
    </row>
    <row r="234" spans="1:48" ht="15.75" hidden="1" x14ac:dyDescent="0.25">
      <c r="A234" s="81" t="s">
        <v>176</v>
      </c>
      <c r="B234" s="59"/>
      <c r="C234" s="59"/>
      <c r="D234" s="59"/>
      <c r="E234" s="98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33"/>
    </row>
    <row r="235" spans="1:48" ht="15" hidden="1" x14ac:dyDescent="0.2">
      <c r="A235" s="59" t="s">
        <v>177</v>
      </c>
      <c r="B235" s="153">
        <f t="shared" ref="B235:F235" si="487">+B105/B61</f>
        <v>0.23486486486486541</v>
      </c>
      <c r="C235" s="184">
        <f t="shared" si="487"/>
        <v>0.24076086956521744</v>
      </c>
      <c r="D235" s="184">
        <f t="shared" si="487"/>
        <v>0.3403254972875227</v>
      </c>
      <c r="E235" s="184">
        <f t="shared" si="487"/>
        <v>0.24161248374512317</v>
      </c>
      <c r="F235" s="184">
        <f t="shared" si="487"/>
        <v>0.19064546304957899</v>
      </c>
      <c r="G235" s="184">
        <f t="shared" ref="G235:N235" si="488">(F105+G105)/2/G61</f>
        <v>0.19766136576239482</v>
      </c>
      <c r="H235" s="184">
        <f t="shared" si="488"/>
        <v>0.21702525724976623</v>
      </c>
      <c r="I235" s="184">
        <f t="shared" si="488"/>
        <v>0.19738763589161121</v>
      </c>
      <c r="J235" s="184">
        <f t="shared" si="488"/>
        <v>0.22235274374895109</v>
      </c>
      <c r="K235" s="184">
        <f t="shared" si="488"/>
        <v>0.18938682409767885</v>
      </c>
      <c r="L235" s="184">
        <f t="shared" si="488"/>
        <v>0.18967136150234762</v>
      </c>
      <c r="M235" s="184">
        <f t="shared" si="488"/>
        <v>0.2165459908822743</v>
      </c>
      <c r="N235" s="184">
        <f t="shared" si="488"/>
        <v>0.18173598553345394</v>
      </c>
      <c r="O235" s="184">
        <f t="shared" ref="O235" si="489">(N105+O105)/2/O61</f>
        <v>0.1538955823293173</v>
      </c>
      <c r="P235" s="184">
        <f t="shared" ref="P235:Q235" si="490">(O105+P105)/2/P61</f>
        <v>0.18153156890400746</v>
      </c>
      <c r="Q235" s="184">
        <f t="shared" si="490"/>
        <v>0.16213523131672611</v>
      </c>
      <c r="R235" s="184">
        <f>(G105+R105)/2/R61</f>
        <v>8.0415599202960431E-2</v>
      </c>
      <c r="S235" s="113">
        <f>AVERAGE(M235:Q235)</f>
        <v>0.17916887179315583</v>
      </c>
    </row>
    <row r="236" spans="1:48" ht="15" hidden="1" x14ac:dyDescent="0.2">
      <c r="A236" s="59" t="s">
        <v>178</v>
      </c>
      <c r="B236" s="153">
        <f t="shared" ref="B236:G236" si="491">(+B61+B49)/(+B49+B61+B77)</f>
        <v>0.48114434330299088</v>
      </c>
      <c r="C236" s="184">
        <f t="shared" si="491"/>
        <v>0.47103755569700828</v>
      </c>
      <c r="D236" s="184">
        <f t="shared" si="491"/>
        <v>0.44856167723061924</v>
      </c>
      <c r="E236" s="184">
        <f t="shared" si="491"/>
        <v>0.47701599373671849</v>
      </c>
      <c r="F236" s="184">
        <f t="shared" si="491"/>
        <v>0.48118473172488296</v>
      </c>
      <c r="G236" s="184">
        <f t="shared" si="491"/>
        <v>0.47238179407865666</v>
      </c>
      <c r="H236" s="184">
        <f t="shared" ref="H236:M236" si="492">(+H61+H49)/(+H49+H61+H77)</f>
        <v>0.46109385783298823</v>
      </c>
      <c r="I236" s="184">
        <f t="shared" si="492"/>
        <v>0.48959950325985713</v>
      </c>
      <c r="J236" s="184">
        <f t="shared" si="492"/>
        <v>0.49680777238029145</v>
      </c>
      <c r="K236" s="184">
        <f t="shared" si="492"/>
        <v>0.42416481702805758</v>
      </c>
      <c r="L236" s="184">
        <f t="shared" si="492"/>
        <v>0.40273350980498085</v>
      </c>
      <c r="M236" s="184">
        <f t="shared" si="492"/>
        <v>0.37880942706216986</v>
      </c>
      <c r="N236" s="184">
        <f t="shared" ref="N236" si="493">(+N61+N49)/(+N49+N61+N77)</f>
        <v>0.44415688724287183</v>
      </c>
      <c r="O236" s="184">
        <f t="shared" ref="O236:P236" si="494">(+O61+O49)/(+O49+O61+O77)</f>
        <v>0.45778790998676278</v>
      </c>
      <c r="P236" s="184">
        <f t="shared" si="494"/>
        <v>0.42980422921941303</v>
      </c>
      <c r="Q236" s="184">
        <f t="shared" ref="Q236" si="495">(+Q61+Q49)/(+Q49+Q61+Q77)</f>
        <v>0.46450887691341292</v>
      </c>
      <c r="R236" s="184">
        <f>(+R61+R49)/(+R49+R61+R77)</f>
        <v>0.45596729184242973</v>
      </c>
      <c r="S236" s="113">
        <f t="shared" ref="S236:S238" si="496">AVERAGE(M236:Q236)</f>
        <v>0.43501346608492603</v>
      </c>
    </row>
    <row r="237" spans="1:48" ht="15" hidden="1" x14ac:dyDescent="0.2">
      <c r="A237" s="59" t="s">
        <v>179</v>
      </c>
      <c r="B237" s="154">
        <f t="shared" ref="B237:G237" si="497">(+B61+B49)/(B105+B101)</f>
        <v>2.8309104820198883</v>
      </c>
      <c r="C237" s="154">
        <f t="shared" si="497"/>
        <v>2.7966742252456536</v>
      </c>
      <c r="D237" s="154">
        <f t="shared" si="497"/>
        <v>2.6551226551226548</v>
      </c>
      <c r="E237" s="154">
        <f t="shared" si="497"/>
        <v>3.044254104211281</v>
      </c>
      <c r="F237" s="154">
        <f t="shared" si="497"/>
        <v>3.5257255936675471</v>
      </c>
      <c r="G237" s="154">
        <f t="shared" si="497"/>
        <v>3.2791411042944767</v>
      </c>
      <c r="H237" s="154">
        <f t="shared" ref="H237:M237" si="498">(+H61+H49)/(H105+H101)</f>
        <v>3.0078784468204836</v>
      </c>
      <c r="I237" s="154">
        <f t="shared" si="498"/>
        <v>3.4716565767749046</v>
      </c>
      <c r="J237" s="154">
        <f t="shared" si="498"/>
        <v>3.3359739049394226</v>
      </c>
      <c r="K237" s="154">
        <f t="shared" si="498"/>
        <v>3.4892322097378257</v>
      </c>
      <c r="L237" s="154">
        <f t="shared" si="498"/>
        <v>3.3415508740475093</v>
      </c>
      <c r="M237" s="154">
        <f t="shared" si="498"/>
        <v>2.8618572524942425</v>
      </c>
      <c r="N237" s="154">
        <f t="shared" ref="N237" si="499">(+N61+N49)/(N105+N101)</f>
        <v>3.6866666666666683</v>
      </c>
      <c r="O237" s="154">
        <f t="shared" ref="O237:P237" si="500">(+O61+O49)/(O105+O101)</f>
        <v>4.2462482946793978</v>
      </c>
      <c r="P237" s="154">
        <f t="shared" si="500"/>
        <v>3.4997096399535401</v>
      </c>
      <c r="Q237" s="154">
        <f t="shared" ref="Q237" si="501">(+Q61+Q49)/(Q105+Q101)</f>
        <v>4.1604974829730512</v>
      </c>
      <c r="R237" s="154">
        <f>(+R61+R49)/(R105+R101)</f>
        <v>6.8114396509937025</v>
      </c>
      <c r="S237" s="111">
        <f t="shared" si="496"/>
        <v>3.6909958673533794</v>
      </c>
    </row>
    <row r="238" spans="1:48" ht="15" hidden="1" x14ac:dyDescent="0.2">
      <c r="A238" s="59" t="s">
        <v>180</v>
      </c>
      <c r="B238" s="59"/>
      <c r="C238" s="59"/>
      <c r="D238" s="59"/>
      <c r="E238" s="154">
        <f>(E105-E123)/-'Historical CF - Exhibit 1B'!O33</f>
        <v>0.3695249845774205</v>
      </c>
      <c r="F238" s="154">
        <f>(F105-F123)/-'Historical CF - Exhibit 1B'!P33</f>
        <v>0.39951865222623334</v>
      </c>
      <c r="G238" s="154">
        <f>(G105-G123)/-'Historical CF - Exhibit 1B'!Q33</f>
        <v>0.42014882655981739</v>
      </c>
      <c r="H238" s="154">
        <f>(H105-H123)/-'Historical CF - Exhibit 1B'!R33</f>
        <v>0.38914443422263117</v>
      </c>
      <c r="I238" s="154">
        <f>(I105-I123)/-'Historical CF - Exhibit 1B'!S33</f>
        <v>0.37728785357737077</v>
      </c>
      <c r="J238" s="154">
        <f>(J105-J123)/-'Historical CF - Exhibit 1B'!T33</f>
        <v>0.66991643454038974</v>
      </c>
      <c r="K238" s="154">
        <f>(K105-K123)/-'Historical CF - Exhibit 1B'!U33</f>
        <v>0.63244729605866234</v>
      </c>
      <c r="L238" s="154">
        <f>(L105-L123)/-'Historical CF - Exhibit 1B'!V33</f>
        <v>0.71015203531142801</v>
      </c>
      <c r="M238" s="154">
        <f>(M105-M123)/-'Historical CF - Exhibit 1B'!W33</f>
        <v>0.58083441981747119</v>
      </c>
      <c r="N238" s="154">
        <f>(N105-N123)/-'Historical CF - Exhibit 1B'!X33</f>
        <v>0.23933581448611482</v>
      </c>
      <c r="O238" s="154">
        <f>(O105-O123)/-'Historical CF - Exhibit 1B'!Y33</f>
        <v>0.58073901658423088</v>
      </c>
      <c r="P238" s="154">
        <f>(P105-P123)/-'Historical CF - Exhibit 1B'!Z33</f>
        <v>0.66080630494089188</v>
      </c>
      <c r="Q238" s="154">
        <f>(Q105-Q123)/-'Historical CF - Exhibit 1B'!AB33</f>
        <v>0.49474127050904559</v>
      </c>
      <c r="R238" s="154">
        <f>(R105-R123)/-'Historical CF - Exhibit 1B'!AB33</f>
        <v>0.49053428691628065</v>
      </c>
      <c r="S238" s="111">
        <f t="shared" si="496"/>
        <v>0.51129136526755092</v>
      </c>
    </row>
    <row r="239" spans="1:48" ht="15" hidden="1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33"/>
    </row>
    <row r="240" spans="1:48" ht="15" hidden="1" x14ac:dyDescent="0.2">
      <c r="A240" s="59" t="s">
        <v>190</v>
      </c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33"/>
    </row>
    <row r="241" spans="1:19" ht="15" hidden="1" x14ac:dyDescent="0.2">
      <c r="A241" s="59" t="s">
        <v>191</v>
      </c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33"/>
    </row>
    <row r="242" spans="1:19" ht="15" hidden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33"/>
    </row>
    <row r="243" spans="1:19" ht="15" hidden="1" x14ac:dyDescent="0.2">
      <c r="A243" s="59" t="s">
        <v>216</v>
      </c>
      <c r="B243" s="113">
        <f>+B226</f>
        <v>0.51228854133418444</v>
      </c>
      <c r="C243" s="113">
        <f>+C226</f>
        <v>0.52971968929415736</v>
      </c>
      <c r="D243" s="113">
        <f>+D226</f>
        <v>0.50689174539259718</v>
      </c>
      <c r="E243" s="113">
        <f>+E226</f>
        <v>0.6519782486405401</v>
      </c>
      <c r="F243" s="113">
        <f t="shared" ref="F243:R243" si="502">+F226</f>
        <v>0.5700891484783277</v>
      </c>
      <c r="G243" s="113">
        <f t="shared" si="502"/>
        <v>0.70006613756613756</v>
      </c>
      <c r="H243" s="246">
        <f t="shared" si="502"/>
        <v>0.70507077584662248</v>
      </c>
      <c r="I243" s="246">
        <f t="shared" si="502"/>
        <v>0.72126913853532559</v>
      </c>
      <c r="J243" s="246">
        <f t="shared" si="502"/>
        <v>0.70057616132517098</v>
      </c>
      <c r="K243" s="246">
        <f t="shared" ref="K243" si="503">+K226</f>
        <v>0.75273275537127793</v>
      </c>
      <c r="L243" s="246">
        <f t="shared" ref="L243:M243" si="504">+L226</f>
        <v>0.734836702954899</v>
      </c>
      <c r="M243" s="246">
        <f t="shared" si="504"/>
        <v>0.69702452754322475</v>
      </c>
      <c r="N243" s="246">
        <f t="shared" ref="N243" si="505">+N226</f>
        <v>0.61309311452015702</v>
      </c>
      <c r="O243" s="246">
        <f t="shared" ref="O243:P243" si="506">+O226</f>
        <v>0.45650106964582832</v>
      </c>
      <c r="P243" s="246">
        <f t="shared" si="506"/>
        <v>0.32772884974646377</v>
      </c>
      <c r="Q243" s="246">
        <f t="shared" ref="Q243" si="507">+Q226</f>
        <v>0.374510706884642</v>
      </c>
      <c r="R243" s="246">
        <f t="shared" si="502"/>
        <v>0.43866666666666665</v>
      </c>
      <c r="S243" s="33"/>
    </row>
    <row r="244" spans="1:19" ht="15" hidden="1" x14ac:dyDescent="0.2">
      <c r="A244" s="59" t="s">
        <v>229</v>
      </c>
      <c r="B244" s="163">
        <f t="shared" ref="B244:H244" si="508">+AE182</f>
        <v>0</v>
      </c>
      <c r="C244" s="163">
        <f t="shared" si="508"/>
        <v>0</v>
      </c>
      <c r="D244" s="163">
        <f t="shared" si="508"/>
        <v>0</v>
      </c>
      <c r="E244" s="163">
        <f t="shared" si="508"/>
        <v>0</v>
      </c>
      <c r="F244" s="163">
        <f t="shared" si="508"/>
        <v>0</v>
      </c>
      <c r="G244" s="163">
        <f t="shared" si="508"/>
        <v>0</v>
      </c>
      <c r="H244" s="163">
        <f t="shared" si="508"/>
        <v>0</v>
      </c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33"/>
    </row>
    <row r="245" spans="1:19" ht="15" hidden="1" x14ac:dyDescent="0.2">
      <c r="A245" s="59"/>
      <c r="B245" s="113">
        <f t="shared" ref="B245:H245" si="509">+B243-B244</f>
        <v>0.51228854133418444</v>
      </c>
      <c r="C245" s="113">
        <f t="shared" si="509"/>
        <v>0.52971968929415736</v>
      </c>
      <c r="D245" s="113">
        <f t="shared" si="509"/>
        <v>0.50689174539259718</v>
      </c>
      <c r="E245" s="113">
        <f t="shared" si="509"/>
        <v>0.6519782486405401</v>
      </c>
      <c r="F245" s="113">
        <f t="shared" si="509"/>
        <v>0.5700891484783277</v>
      </c>
      <c r="G245" s="113">
        <f t="shared" si="509"/>
        <v>0.70006613756613756</v>
      </c>
      <c r="H245" s="113">
        <f t="shared" si="509"/>
        <v>0.70507077584662248</v>
      </c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33"/>
    </row>
    <row r="246" spans="1:19" hidden="1" x14ac:dyDescent="0.2">
      <c r="K246"/>
      <c r="L246"/>
      <c r="M246"/>
      <c r="N246"/>
      <c r="O246"/>
      <c r="P246"/>
      <c r="Q246"/>
    </row>
    <row r="247" spans="1:19" hidden="1" x14ac:dyDescent="0.2">
      <c r="A247" s="253" t="s">
        <v>253</v>
      </c>
      <c r="K247"/>
      <c r="L247"/>
      <c r="M247"/>
      <c r="N247"/>
      <c r="O247"/>
      <c r="P247"/>
      <c r="Q247"/>
    </row>
    <row r="248" spans="1:19" ht="13.5" hidden="1" thickBot="1" x14ac:dyDescent="0.25">
      <c r="A248" s="147" t="s">
        <v>251</v>
      </c>
      <c r="B248" s="147"/>
      <c r="C248" s="147"/>
      <c r="D248" s="147"/>
      <c r="E248" s="255">
        <f>+'Historical CF - Exhibit 1B'!N30</f>
        <v>146.90000000000003</v>
      </c>
      <c r="F248" s="255">
        <f>+'Historical CF - Exhibit 1B'!O30</f>
        <v>112.69999999999989</v>
      </c>
      <c r="G248" s="255">
        <f>+'Historical CF - Exhibit 1B'!P30</f>
        <v>153.29999999999998</v>
      </c>
      <c r="H248" s="255">
        <f>+'Historical CF - Exhibit 1B'!Q30</f>
        <v>113.70000000000012</v>
      </c>
      <c r="I248" s="255">
        <f>+'Historical CF - Exhibit 1B'!S30</f>
        <v>201.09999999999991</v>
      </c>
      <c r="J248" s="255">
        <f>+'Historical CF - Exhibit 1B'!T30</f>
        <v>141.29999999999995</v>
      </c>
      <c r="K248" s="255">
        <f>+'Historical CF - Exhibit 1B'!U30</f>
        <v>212.90000000000009</v>
      </c>
      <c r="L248" s="255">
        <f>+'Historical CF - Exhibit 1B'!V30</f>
        <v>106.4000000000002</v>
      </c>
      <c r="M248" s="255">
        <f>+'Historical CF - Exhibit 1B'!W30</f>
        <v>187.20000000000019</v>
      </c>
      <c r="N248" s="255">
        <f>+'Historical CF - Exhibit 1B'!X30</f>
        <v>157.99999999999994</v>
      </c>
      <c r="O248" s="255">
        <f>+'Historical CF - Exhibit 1B'!Y30</f>
        <v>205.10000000000008</v>
      </c>
      <c r="P248" s="255">
        <f>+'Historical CF - Exhibit 1B'!Z30</f>
        <v>72.200000000000216</v>
      </c>
      <c r="Q248" s="255">
        <f>+'Historical CF - Exhibit 1B'!AB30</f>
        <v>211.59999999999991</v>
      </c>
      <c r="R248" s="255">
        <f>+'Historical CF - Exhibit 1B'!AB30</f>
        <v>211.59999999999991</v>
      </c>
    </row>
    <row r="249" spans="1:19" ht="13.5" hidden="1" thickBot="1" x14ac:dyDescent="0.25">
      <c r="A249" s="147" t="s">
        <v>252</v>
      </c>
      <c r="B249" s="147"/>
      <c r="C249" s="147"/>
      <c r="D249" s="147"/>
      <c r="E249" s="259"/>
      <c r="F249" s="259"/>
      <c r="G249" s="259"/>
      <c r="H249" s="259"/>
      <c r="I249" s="257">
        <f t="shared" ref="I249:R249" si="510">I24-I59+I47+I48+I49</f>
        <v>65.300000000000011</v>
      </c>
      <c r="J249" s="258">
        <f t="shared" si="510"/>
        <v>89.900000000000034</v>
      </c>
      <c r="K249" s="258">
        <f t="shared" si="510"/>
        <v>41.800000000000011</v>
      </c>
      <c r="L249" s="258">
        <f t="shared" si="510"/>
        <v>96.210000000000036</v>
      </c>
      <c r="M249" s="258">
        <f t="shared" si="510"/>
        <v>79.099999999999909</v>
      </c>
      <c r="N249" s="258">
        <f t="shared" ref="N249" si="511">N24-N59+N47+N48+N49</f>
        <v>122.2999999999999</v>
      </c>
      <c r="O249" s="258">
        <f t="shared" ref="O249:P249" si="512">O24-O59+O47+O48+O49</f>
        <v>168.49999999999989</v>
      </c>
      <c r="P249" s="258">
        <f t="shared" si="512"/>
        <v>331.59999999999991</v>
      </c>
      <c r="Q249" s="258">
        <f t="shared" ref="Q249" si="513">Q24-Q59+Q47+Q48+Q49</f>
        <v>-42.399999999999977</v>
      </c>
      <c r="R249" s="258">
        <f t="shared" si="510"/>
        <v>-108.99999999999994</v>
      </c>
    </row>
    <row r="250" spans="1:19" hidden="1" x14ac:dyDescent="0.2">
      <c r="A250" s="147" t="s">
        <v>254</v>
      </c>
      <c r="B250" s="147"/>
      <c r="C250" s="147"/>
      <c r="D250" s="147"/>
      <c r="E250" s="255">
        <f t="shared" ref="E250:R250" si="514">E48+E47+E49+E61</f>
        <v>592.6</v>
      </c>
      <c r="F250" s="255">
        <f t="shared" si="514"/>
        <v>552.20000000000005</v>
      </c>
      <c r="G250" s="255">
        <f t="shared" si="514"/>
        <v>653.79999999999995</v>
      </c>
      <c r="H250" s="255">
        <f t="shared" si="514"/>
        <v>807.8</v>
      </c>
      <c r="I250" s="255">
        <f t="shared" si="514"/>
        <v>878.8</v>
      </c>
      <c r="J250" s="255">
        <f t="shared" si="514"/>
        <v>955.9</v>
      </c>
      <c r="K250" s="255">
        <f t="shared" ref="K250" si="515">K48+K47+K49+K61</f>
        <v>765.8</v>
      </c>
      <c r="L250" s="255">
        <f t="shared" ref="L250:M250" si="516">L48+L47+L49+L61</f>
        <v>877.3</v>
      </c>
      <c r="M250" s="255">
        <f t="shared" si="516"/>
        <v>1002.0999999999999</v>
      </c>
      <c r="N250" s="255">
        <f t="shared" ref="N250" si="517">N48+N47+N49+N61</f>
        <v>1299.7</v>
      </c>
      <c r="O250" s="255">
        <f t="shared" ref="O250:P250" si="518">O48+O47+O49+O61</f>
        <v>1361.5</v>
      </c>
      <c r="P250" s="255">
        <f t="shared" si="518"/>
        <v>1652.1999999999998</v>
      </c>
      <c r="Q250" s="255">
        <f t="shared" ref="Q250" si="519">Q48+Q47+Q49+Q61</f>
        <v>1405</v>
      </c>
      <c r="R250" s="255">
        <f t="shared" si="514"/>
        <v>1426.2</v>
      </c>
    </row>
    <row r="251" spans="1:19" hidden="1" x14ac:dyDescent="0.2">
      <c r="A251" s="172" t="s">
        <v>263</v>
      </c>
      <c r="B251" s="147"/>
      <c r="C251" s="147"/>
      <c r="D251" s="147"/>
      <c r="E251" s="254">
        <f t="shared" ref="E251:R251" si="520">(E248+E249)/E250</f>
        <v>0.24789065136685795</v>
      </c>
      <c r="F251" s="254">
        <f t="shared" si="520"/>
        <v>0.2040927200289748</v>
      </c>
      <c r="G251" s="254">
        <f t="shared" si="520"/>
        <v>0.23447537473233404</v>
      </c>
      <c r="H251" s="254">
        <f t="shared" si="520"/>
        <v>0.14075266154988875</v>
      </c>
      <c r="I251" s="254">
        <f t="shared" si="520"/>
        <v>0.30314064633591253</v>
      </c>
      <c r="J251" s="254">
        <f t="shared" si="520"/>
        <v>0.24186630400669526</v>
      </c>
      <c r="K251" s="254">
        <f t="shared" ref="K251" si="521">(K248+K249)/K250</f>
        <v>0.3325933664142075</v>
      </c>
      <c r="L251" s="254">
        <f t="shared" ref="L251:M251" si="522">(L248+L249)/L250</f>
        <v>0.23094722443861879</v>
      </c>
      <c r="M251" s="254">
        <f t="shared" si="522"/>
        <v>0.26574194192196399</v>
      </c>
      <c r="N251" s="254">
        <f t="shared" ref="N251" si="523">(N248+N249)/N250</f>
        <v>0.21566515349696072</v>
      </c>
      <c r="O251" s="254">
        <f t="shared" ref="O251:P251" si="524">(O248+O249)/O250</f>
        <v>0.27440323172970987</v>
      </c>
      <c r="P251" s="254">
        <f t="shared" si="524"/>
        <v>0.24440140418835501</v>
      </c>
      <c r="Q251" s="254">
        <f t="shared" ref="Q251" si="525">(Q248+Q249)/Q250</f>
        <v>0.12042704626334515</v>
      </c>
      <c r="R251" s="254">
        <f t="shared" si="520"/>
        <v>7.1939419436264168E-2</v>
      </c>
    </row>
    <row r="252" spans="1:19" hidden="1" x14ac:dyDescent="0.2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</row>
    <row r="253" spans="1:19" hidden="1" x14ac:dyDescent="0.2">
      <c r="A253" s="253" t="s">
        <v>255</v>
      </c>
      <c r="B253" s="147"/>
      <c r="C253" s="147"/>
      <c r="D253" s="147"/>
      <c r="E253" s="147"/>
      <c r="F253" s="147"/>
      <c r="G253" s="147"/>
      <c r="H253" s="147"/>
      <c r="I253" s="255"/>
      <c r="J253" s="255"/>
      <c r="K253" s="255"/>
      <c r="L253" s="255"/>
      <c r="M253" s="255"/>
      <c r="N253" s="255"/>
      <c r="O253" s="255"/>
      <c r="P253" s="255"/>
      <c r="Q253" s="255"/>
      <c r="R253" s="147"/>
    </row>
    <row r="254" spans="1:19" hidden="1" x14ac:dyDescent="0.2">
      <c r="A254" s="147" t="s">
        <v>256</v>
      </c>
      <c r="B254" s="255">
        <f>B116+B107+B115+B108</f>
        <v>86.900000000000205</v>
      </c>
      <c r="C254" s="255">
        <f>C116+C107+C115+C108</f>
        <v>88.600000000000023</v>
      </c>
      <c r="D254" s="255">
        <f>D116+D107+D115+D108</f>
        <v>94.100000000000023</v>
      </c>
      <c r="E254" s="255">
        <f t="shared" ref="E254:R254" si="526">E116+E107+E115+E108</f>
        <v>92.899999999999878</v>
      </c>
      <c r="F254" s="255">
        <f t="shared" si="526"/>
        <v>101.89999999999998</v>
      </c>
      <c r="G254" s="255">
        <f t="shared" si="526"/>
        <v>109.5000000000001</v>
      </c>
      <c r="H254" s="255">
        <f t="shared" si="526"/>
        <v>122.60000000000002</v>
      </c>
      <c r="I254" s="255">
        <f t="shared" si="526"/>
        <v>120.69999999999992</v>
      </c>
      <c r="J254" s="255">
        <f t="shared" si="526"/>
        <v>144.29999999999995</v>
      </c>
      <c r="K254" s="255">
        <f t="shared" ref="K254" si="527">K116+K107+K115+K108</f>
        <v>138.00000000000011</v>
      </c>
      <c r="L254" s="255">
        <f t="shared" ref="L254:M254" si="528">L116+L107+L115+L108</f>
        <v>144.80000000000018</v>
      </c>
      <c r="M254" s="255">
        <f t="shared" si="528"/>
        <v>178.20000000000013</v>
      </c>
      <c r="N254" s="255">
        <f t="shared" ref="N254" si="529">N116+N107+N115+N108</f>
        <v>183.59999999999988</v>
      </c>
      <c r="O254" s="255">
        <f t="shared" ref="O254:P254" si="530">O116+O107+O115+O108</f>
        <v>199.60000000000014</v>
      </c>
      <c r="P254" s="255">
        <f t="shared" si="530"/>
        <v>238.00000000000023</v>
      </c>
      <c r="Q254" s="255">
        <f t="shared" ref="Q254" si="531">Q116+Q107+Q115+Q108</f>
        <v>217.60000000000014</v>
      </c>
      <c r="R254" s="255">
        <f t="shared" si="526"/>
        <v>116.59999999999991</v>
      </c>
    </row>
    <row r="255" spans="1:19" hidden="1" x14ac:dyDescent="0.2">
      <c r="A255" s="147" t="s">
        <v>257</v>
      </c>
      <c r="B255" s="255">
        <f>B101</f>
        <v>43.8</v>
      </c>
      <c r="C255" s="255">
        <f>C101</f>
        <v>43.7</v>
      </c>
      <c r="D255" s="255">
        <f>D101</f>
        <v>44.5</v>
      </c>
      <c r="E255" s="255">
        <f t="shared" ref="E255:R255" si="532">E101</f>
        <v>47.2</v>
      </c>
      <c r="F255" s="255">
        <f t="shared" si="532"/>
        <v>49.7</v>
      </c>
      <c r="G255" s="255">
        <f t="shared" si="532"/>
        <v>53.6</v>
      </c>
      <c r="H255" s="255">
        <f t="shared" si="532"/>
        <v>55.1</v>
      </c>
      <c r="I255" s="255">
        <f t="shared" si="532"/>
        <v>61</v>
      </c>
      <c r="J255" s="255">
        <f t="shared" si="532"/>
        <v>70.3</v>
      </c>
      <c r="K255" s="255">
        <f t="shared" ref="K255" si="533">K101</f>
        <v>75.599999999999994</v>
      </c>
      <c r="L255" s="255">
        <f t="shared" ref="L255:M255" si="534">L101</f>
        <v>78.3</v>
      </c>
      <c r="M255" s="255">
        <f t="shared" si="534"/>
        <v>82.4</v>
      </c>
      <c r="N255" s="255">
        <f t="shared" ref="N255" si="535">N101</f>
        <v>86.4</v>
      </c>
      <c r="O255" s="255">
        <f t="shared" ref="O255:P255" si="536">O101</f>
        <v>93.6</v>
      </c>
      <c r="P255" s="255">
        <f t="shared" si="536"/>
        <v>106.4</v>
      </c>
      <c r="Q255" s="255">
        <f t="shared" ref="Q255" si="537">Q101</f>
        <v>120.1</v>
      </c>
      <c r="R255" s="255">
        <f t="shared" si="532"/>
        <v>89.7</v>
      </c>
    </row>
    <row r="256" spans="1:19" hidden="1" x14ac:dyDescent="0.2">
      <c r="A256" s="147" t="s">
        <v>258</v>
      </c>
      <c r="B256" s="255">
        <f>+B255+B254</f>
        <v>130.70000000000022</v>
      </c>
      <c r="C256" s="255">
        <f>+C255+C254</f>
        <v>132.30000000000001</v>
      </c>
      <c r="D256" s="255">
        <f>+D255+D254</f>
        <v>138.60000000000002</v>
      </c>
      <c r="E256" s="255">
        <f t="shared" ref="E256:R256" si="538">+E255+E254</f>
        <v>140.09999999999988</v>
      </c>
      <c r="F256" s="255">
        <f t="shared" si="538"/>
        <v>151.59999999999997</v>
      </c>
      <c r="G256" s="255">
        <f t="shared" si="538"/>
        <v>163.10000000000011</v>
      </c>
      <c r="H256" s="255">
        <f t="shared" si="538"/>
        <v>177.70000000000002</v>
      </c>
      <c r="I256" s="255">
        <f t="shared" si="538"/>
        <v>181.69999999999993</v>
      </c>
      <c r="J256" s="255">
        <f t="shared" si="538"/>
        <v>214.59999999999997</v>
      </c>
      <c r="K256" s="255">
        <f t="shared" ref="K256" si="539">+K255+K254</f>
        <v>213.60000000000011</v>
      </c>
      <c r="L256" s="255">
        <f t="shared" ref="L256:M256" si="540">+L255+L254</f>
        <v>223.10000000000019</v>
      </c>
      <c r="M256" s="255">
        <f t="shared" si="540"/>
        <v>260.60000000000014</v>
      </c>
      <c r="N256" s="255">
        <f t="shared" ref="N256" si="541">+N255+N254</f>
        <v>269.99999999999989</v>
      </c>
      <c r="O256" s="255">
        <f t="shared" ref="O256:P256" si="542">+O255+O254</f>
        <v>293.20000000000016</v>
      </c>
      <c r="P256" s="255">
        <f t="shared" si="542"/>
        <v>344.4000000000002</v>
      </c>
      <c r="Q256" s="255">
        <f t="shared" ref="Q256" si="543">+Q255+Q254</f>
        <v>337.70000000000016</v>
      </c>
      <c r="R256" s="255">
        <f t="shared" si="538"/>
        <v>206.2999999999999</v>
      </c>
    </row>
    <row r="257" spans="1:19" hidden="1" x14ac:dyDescent="0.2">
      <c r="A257" s="147" t="s">
        <v>260</v>
      </c>
      <c r="B257" s="256">
        <f>-B107</f>
        <v>-28.5</v>
      </c>
      <c r="C257" s="256">
        <f>-C107</f>
        <v>-26.2</v>
      </c>
      <c r="D257" s="256">
        <f>-D107</f>
        <v>-25.9</v>
      </c>
      <c r="E257" s="256">
        <f t="shared" ref="E257:R257" si="544">-E107</f>
        <v>-24.1</v>
      </c>
      <c r="F257" s="256">
        <f t="shared" si="544"/>
        <v>-22.3</v>
      </c>
      <c r="G257" s="256">
        <f t="shared" si="544"/>
        <v>-28.2</v>
      </c>
      <c r="H257" s="256">
        <f t="shared" si="544"/>
        <v>-28.3</v>
      </c>
      <c r="I257" s="256">
        <f t="shared" si="544"/>
        <v>-30.2</v>
      </c>
      <c r="J257" s="256">
        <f t="shared" si="544"/>
        <v>-34.5</v>
      </c>
      <c r="K257" s="256">
        <f t="shared" ref="K257" si="545">-K107</f>
        <v>-36.200000000000003</v>
      </c>
      <c r="L257" s="256">
        <f t="shared" ref="L257:M257" si="546">-L107</f>
        <v>-31.2</v>
      </c>
      <c r="M257" s="256">
        <f t="shared" si="546"/>
        <v>-31.9</v>
      </c>
      <c r="N257" s="256">
        <f t="shared" ref="N257" si="547">-N107</f>
        <v>-34.299999999999997</v>
      </c>
      <c r="O257" s="256">
        <f t="shared" ref="O257:P257" si="548">-O107</f>
        <v>-44.4</v>
      </c>
      <c r="P257" s="256">
        <f t="shared" si="548"/>
        <v>-68.400000000000006</v>
      </c>
      <c r="Q257" s="256">
        <f t="shared" ref="Q257" si="549">-Q107</f>
        <v>-55</v>
      </c>
      <c r="R257" s="256">
        <f t="shared" si="544"/>
        <v>-44.8</v>
      </c>
    </row>
    <row r="258" spans="1:19" hidden="1" x14ac:dyDescent="0.2">
      <c r="A258" s="147" t="s">
        <v>259</v>
      </c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</row>
    <row r="259" spans="1:19" hidden="1" x14ac:dyDescent="0.2">
      <c r="A259" s="147" t="s">
        <v>261</v>
      </c>
      <c r="B259" s="255">
        <f>+B258+B257+B256</f>
        <v>102.20000000000022</v>
      </c>
      <c r="C259" s="255">
        <f>+C258+C257+C256</f>
        <v>106.10000000000001</v>
      </c>
      <c r="D259" s="255">
        <f>+D258+D257+D256</f>
        <v>112.70000000000002</v>
      </c>
      <c r="E259" s="255">
        <f t="shared" ref="E259:R259" si="550">+E258+E257+E256</f>
        <v>115.99999999999989</v>
      </c>
      <c r="F259" s="255">
        <f t="shared" si="550"/>
        <v>129.29999999999995</v>
      </c>
      <c r="G259" s="255">
        <f t="shared" si="550"/>
        <v>134.90000000000012</v>
      </c>
      <c r="H259" s="255">
        <f t="shared" si="550"/>
        <v>149.4</v>
      </c>
      <c r="I259" s="255">
        <f t="shared" si="550"/>
        <v>151.49999999999994</v>
      </c>
      <c r="J259" s="255">
        <f t="shared" si="550"/>
        <v>180.09999999999997</v>
      </c>
      <c r="K259" s="255">
        <f t="shared" ref="K259" si="551">+K258+K257+K256</f>
        <v>177.40000000000009</v>
      </c>
      <c r="L259" s="255">
        <f t="shared" ref="L259:M259" si="552">+L258+L257+L256</f>
        <v>191.9000000000002</v>
      </c>
      <c r="M259" s="255">
        <f t="shared" si="552"/>
        <v>228.70000000000013</v>
      </c>
      <c r="N259" s="255">
        <f t="shared" ref="N259" si="553">+N258+N257+N256</f>
        <v>235.69999999999987</v>
      </c>
      <c r="O259" s="255">
        <f t="shared" ref="O259:P259" si="554">+O258+O257+O256</f>
        <v>248.80000000000015</v>
      </c>
      <c r="P259" s="255">
        <f t="shared" si="554"/>
        <v>276.00000000000023</v>
      </c>
      <c r="Q259" s="255">
        <f t="shared" ref="Q259" si="555">+Q258+Q257+Q256</f>
        <v>282.70000000000016</v>
      </c>
      <c r="R259" s="255">
        <f t="shared" si="550"/>
        <v>161.49999999999989</v>
      </c>
    </row>
    <row r="260" spans="1:19" hidden="1" x14ac:dyDescent="0.2">
      <c r="A260" s="147" t="s">
        <v>254</v>
      </c>
      <c r="B260" s="255">
        <f>+B47+B48+B49+B61</f>
        <v>457</v>
      </c>
      <c r="C260" s="255">
        <f>+C47+C48+C49+C61</f>
        <v>523.6</v>
      </c>
      <c r="D260" s="255">
        <f>+D47+D48+D49+D61</f>
        <v>510.7</v>
      </c>
      <c r="E260" s="255">
        <f t="shared" ref="E260:R260" si="556">+E47+E48+E49+E61</f>
        <v>592.6</v>
      </c>
      <c r="F260" s="255">
        <f t="shared" si="556"/>
        <v>552.20000000000005</v>
      </c>
      <c r="G260" s="255">
        <f t="shared" si="556"/>
        <v>653.79999999999995</v>
      </c>
      <c r="H260" s="255">
        <f t="shared" si="556"/>
        <v>807.8</v>
      </c>
      <c r="I260" s="255">
        <f t="shared" si="556"/>
        <v>878.8</v>
      </c>
      <c r="J260" s="255">
        <f t="shared" si="556"/>
        <v>955.9</v>
      </c>
      <c r="K260" s="255">
        <f t="shared" ref="K260" si="557">+K47+K48+K49+K61</f>
        <v>765.8</v>
      </c>
      <c r="L260" s="255">
        <f t="shared" ref="L260:M260" si="558">+L47+L48+L49+L61</f>
        <v>877.3</v>
      </c>
      <c r="M260" s="255">
        <f t="shared" si="558"/>
        <v>1002.0999999999999</v>
      </c>
      <c r="N260" s="255">
        <f t="shared" ref="N260" si="559">+N47+N48+N49+N61</f>
        <v>1299.7</v>
      </c>
      <c r="O260" s="255">
        <f t="shared" ref="O260:P260" si="560">+O47+O48+O49+O61</f>
        <v>1361.5</v>
      </c>
      <c r="P260" s="255">
        <f t="shared" si="560"/>
        <v>1652.1999999999998</v>
      </c>
      <c r="Q260" s="255">
        <f t="shared" ref="Q260" si="561">+Q47+Q48+Q49+Q61</f>
        <v>1405</v>
      </c>
      <c r="R260" s="255">
        <f t="shared" si="556"/>
        <v>1426.2</v>
      </c>
    </row>
    <row r="261" spans="1:19" hidden="1" x14ac:dyDescent="0.2">
      <c r="A261" s="172" t="s">
        <v>262</v>
      </c>
      <c r="B261" s="254">
        <f>+B259/B260</f>
        <v>0.22363238512035058</v>
      </c>
      <c r="C261" s="254">
        <f>+C259/C260</f>
        <v>0.20263559969442324</v>
      </c>
      <c r="D261" s="254">
        <f>+D259/D260</f>
        <v>0.2206775014685726</v>
      </c>
      <c r="E261" s="254">
        <f t="shared" ref="E261:R261" si="562">+E259/E260</f>
        <v>0.19574755315558537</v>
      </c>
      <c r="F261" s="254">
        <f t="shared" si="562"/>
        <v>0.23415429192321613</v>
      </c>
      <c r="G261" s="254">
        <f t="shared" si="562"/>
        <v>0.20633221168553095</v>
      </c>
      <c r="H261" s="254">
        <f t="shared" si="562"/>
        <v>0.18494676900222828</v>
      </c>
      <c r="I261" s="254">
        <f t="shared" si="562"/>
        <v>0.17239417387346376</v>
      </c>
      <c r="J261" s="254">
        <f t="shared" si="562"/>
        <v>0.18840882937545766</v>
      </c>
      <c r="K261" s="254">
        <f t="shared" ref="K261" si="563">+K259/K260</f>
        <v>0.2316531731522592</v>
      </c>
      <c r="L261" s="254">
        <f t="shared" ref="L261:M261" si="564">+L259/L260</f>
        <v>0.2187393138037162</v>
      </c>
      <c r="M261" s="254">
        <f t="shared" si="564"/>
        <v>0.2282207364534479</v>
      </c>
      <c r="N261" s="254">
        <f t="shared" ref="N261" si="565">+N259/N260</f>
        <v>0.18134954220204652</v>
      </c>
      <c r="O261" s="254">
        <f t="shared" ref="O261:P261" si="566">+O259/O260</f>
        <v>0.18273962541314737</v>
      </c>
      <c r="P261" s="254">
        <f t="shared" si="566"/>
        <v>0.16704999394746414</v>
      </c>
      <c r="Q261" s="254">
        <f t="shared" ref="Q261" si="567">+Q259/Q260</f>
        <v>0.2012099644128115</v>
      </c>
      <c r="R261" s="254">
        <f t="shared" si="562"/>
        <v>0.11323797503856393</v>
      </c>
    </row>
    <row r="262" spans="1:19" hidden="1" x14ac:dyDescent="0.2">
      <c r="K262"/>
      <c r="L262"/>
      <c r="M262"/>
      <c r="N262"/>
      <c r="O262"/>
      <c r="P262"/>
      <c r="Q262"/>
    </row>
    <row r="263" spans="1:19" ht="13.5" hidden="1" thickBot="1" x14ac:dyDescent="0.25">
      <c r="K263"/>
      <c r="L263"/>
      <c r="M263"/>
      <c r="N263"/>
      <c r="O263"/>
      <c r="P263"/>
      <c r="Q263"/>
    </row>
    <row r="264" spans="1:19" hidden="1" x14ac:dyDescent="0.2">
      <c r="A264" s="262"/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4" t="str">
        <f>+R191</f>
        <v>3rd Qrtr</v>
      </c>
    </row>
    <row r="265" spans="1:19" hidden="1" x14ac:dyDescent="0.2">
      <c r="A265" s="265"/>
      <c r="B265" s="266">
        <f t="shared" ref="B265:E265" si="568">+B192</f>
        <v>2009</v>
      </c>
      <c r="C265" s="266">
        <f t="shared" si="568"/>
        <v>2010</v>
      </c>
      <c r="D265" s="266">
        <f t="shared" si="568"/>
        <v>2011</v>
      </c>
      <c r="E265" s="266">
        <f t="shared" si="568"/>
        <v>2012</v>
      </c>
      <c r="F265" s="266">
        <f t="shared" ref="F265:K265" si="569">+F192</f>
        <v>2013</v>
      </c>
      <c r="G265" s="266">
        <f t="shared" si="569"/>
        <v>2014</v>
      </c>
      <c r="H265" s="266">
        <f t="shared" si="569"/>
        <v>2015</v>
      </c>
      <c r="I265" s="266">
        <f t="shared" si="569"/>
        <v>2016</v>
      </c>
      <c r="J265" s="266">
        <f t="shared" si="569"/>
        <v>2017</v>
      </c>
      <c r="K265" s="266">
        <f t="shared" si="569"/>
        <v>2018</v>
      </c>
      <c r="L265" s="266">
        <f t="shared" ref="L265:M265" si="570">+L192</f>
        <v>2019</v>
      </c>
      <c r="M265" s="266">
        <f t="shared" si="570"/>
        <v>2020</v>
      </c>
      <c r="N265" s="266">
        <f t="shared" ref="N265" si="571">+N192</f>
        <v>2021</v>
      </c>
      <c r="O265" s="266">
        <f t="shared" ref="O265:P265" si="572">+O192</f>
        <v>2022</v>
      </c>
      <c r="P265" s="266">
        <f t="shared" si="572"/>
        <v>2023</v>
      </c>
      <c r="Q265" s="266">
        <f t="shared" ref="Q265" si="573">+Q192</f>
        <v>2024</v>
      </c>
      <c r="R265" s="267">
        <f>+R192</f>
        <v>2025</v>
      </c>
      <c r="S265" s="260"/>
    </row>
    <row r="266" spans="1:19" hidden="1" x14ac:dyDescent="0.2">
      <c r="A266" s="265"/>
      <c r="K266"/>
      <c r="L266"/>
      <c r="M266"/>
      <c r="N266"/>
      <c r="O266"/>
      <c r="P266"/>
      <c r="Q266"/>
      <c r="R266" s="268"/>
    </row>
    <row r="267" spans="1:19" hidden="1" x14ac:dyDescent="0.2">
      <c r="A267" s="276" t="str">
        <f>+A194</f>
        <v>Operator Service Fee</v>
      </c>
      <c r="B267" s="269">
        <f t="shared" ref="B267:E267" si="574">+B194</f>
        <v>224.9</v>
      </c>
      <c r="C267" s="269">
        <f t="shared" si="574"/>
        <v>240</v>
      </c>
      <c r="D267" s="269">
        <f t="shared" si="574"/>
        <v>253.4</v>
      </c>
      <c r="E267" s="269">
        <f t="shared" si="574"/>
        <v>274</v>
      </c>
      <c r="F267" s="269">
        <f t="shared" ref="F267:R267" si="575">+F194</f>
        <v>294.60000000000002</v>
      </c>
      <c r="G267" s="269">
        <f t="shared" si="575"/>
        <v>349.7</v>
      </c>
      <c r="H267" s="269">
        <f t="shared" si="575"/>
        <v>319</v>
      </c>
      <c r="I267" s="269">
        <f t="shared" si="575"/>
        <v>311.7</v>
      </c>
      <c r="J267" s="269">
        <f t="shared" si="575"/>
        <v>304.2</v>
      </c>
      <c r="K267" s="269">
        <f t="shared" ref="K267" si="576">+K194</f>
        <v>245.6</v>
      </c>
      <c r="L267" s="269">
        <f t="shared" ref="L267:M267" si="577">+L194</f>
        <v>225</v>
      </c>
      <c r="M267" s="269">
        <f t="shared" si="577"/>
        <v>218.2</v>
      </c>
      <c r="N267" s="269">
        <f t="shared" ref="N267" si="578">+N194</f>
        <v>199.9</v>
      </c>
      <c r="O267" s="269">
        <f t="shared" ref="O267:P267" si="579">+O194</f>
        <v>227</v>
      </c>
      <c r="P267" s="269">
        <f t="shared" si="579"/>
        <v>213.6</v>
      </c>
      <c r="Q267" s="269">
        <f t="shared" ref="Q267" si="580">+Q194</f>
        <v>204.4</v>
      </c>
      <c r="R267" s="270">
        <f t="shared" si="575"/>
        <v>0</v>
      </c>
    </row>
    <row r="268" spans="1:19" hidden="1" x14ac:dyDescent="0.2">
      <c r="A268" s="276"/>
      <c r="K268"/>
      <c r="L268"/>
      <c r="M268"/>
      <c r="N268"/>
      <c r="O268"/>
      <c r="P268"/>
      <c r="Q268"/>
      <c r="R268" s="268"/>
    </row>
    <row r="269" spans="1:19" s="261" customFormat="1" hidden="1" x14ac:dyDescent="0.2">
      <c r="A269" s="277" t="s">
        <v>266</v>
      </c>
      <c r="B269" s="248"/>
      <c r="C269" s="248"/>
      <c r="D269" s="248"/>
      <c r="E269" s="248">
        <v>70328</v>
      </c>
      <c r="F269" s="248">
        <v>74959</v>
      </c>
      <c r="G269" s="248">
        <v>78676</v>
      </c>
      <c r="H269" s="248">
        <v>70233</v>
      </c>
      <c r="I269" s="248">
        <v>69676</v>
      </c>
      <c r="J269" s="248">
        <v>69470</v>
      </c>
      <c r="K269" s="248">
        <v>73272</v>
      </c>
      <c r="L269" s="248">
        <v>71943</v>
      </c>
      <c r="M269" s="248"/>
      <c r="N269" s="248"/>
      <c r="O269" s="248"/>
      <c r="P269" s="248"/>
      <c r="Q269" s="248"/>
      <c r="R269" s="271"/>
    </row>
    <row r="270" spans="1:19" hidden="1" x14ac:dyDescent="0.2">
      <c r="A270" s="276"/>
      <c r="K270"/>
      <c r="L270"/>
      <c r="M270"/>
      <c r="N270"/>
      <c r="O270"/>
      <c r="P270"/>
      <c r="Q270"/>
      <c r="R270" s="268"/>
    </row>
    <row r="271" spans="1:19" hidden="1" x14ac:dyDescent="0.2">
      <c r="A271" s="276" t="s">
        <v>265</v>
      </c>
      <c r="B271" s="274" t="e">
        <f t="shared" ref="B271:J271" si="581">(B267*1000)/B269</f>
        <v>#DIV/0!</v>
      </c>
      <c r="C271" s="274" t="e">
        <f t="shared" si="581"/>
        <v>#DIV/0!</v>
      </c>
      <c r="D271" s="274" t="e">
        <f t="shared" si="581"/>
        <v>#DIV/0!</v>
      </c>
      <c r="E271" s="274">
        <f t="shared" si="581"/>
        <v>3.8960300307132294</v>
      </c>
      <c r="F271" s="274">
        <f t="shared" si="581"/>
        <v>3.9301484811697063</v>
      </c>
      <c r="G271" s="274">
        <f t="shared" si="581"/>
        <v>4.4448116325181761</v>
      </c>
      <c r="H271" s="274">
        <f t="shared" si="581"/>
        <v>4.5420244044822233</v>
      </c>
      <c r="I271" s="274">
        <f t="shared" si="581"/>
        <v>4.4735633503645449</v>
      </c>
      <c r="J271" s="274">
        <f t="shared" si="581"/>
        <v>4.3788685763638977</v>
      </c>
      <c r="K271" s="274">
        <f>(K267*1000)/K269</f>
        <v>3.3518943116060704</v>
      </c>
      <c r="L271" s="274">
        <f>(L267*1000)/L269</f>
        <v>3.1274759184354282</v>
      </c>
      <c r="M271" s="274" t="e">
        <f>(M267*1000)/M269</f>
        <v>#DIV/0!</v>
      </c>
      <c r="N271" s="274" t="e">
        <f>(N267*1000)/N269</f>
        <v>#DIV/0!</v>
      </c>
      <c r="O271" s="274" t="e">
        <f t="shared" ref="O271:Q271" si="582">(O267*1000)/O269</f>
        <v>#DIV/0!</v>
      </c>
      <c r="P271" s="274" t="e">
        <f t="shared" si="582"/>
        <v>#DIV/0!</v>
      </c>
      <c r="Q271" s="274" t="e">
        <f t="shared" si="582"/>
        <v>#DIV/0!</v>
      </c>
      <c r="R271" s="275" t="e">
        <f>(R267*1000)/R269</f>
        <v>#DIV/0!</v>
      </c>
    </row>
    <row r="272" spans="1:19" ht="13.5" hidden="1" thickBot="1" x14ac:dyDescent="0.25">
      <c r="A272" s="278"/>
      <c r="B272" s="272"/>
      <c r="C272" s="272"/>
      <c r="D272" s="272"/>
      <c r="E272" s="272"/>
      <c r="F272" s="272"/>
      <c r="G272" s="272"/>
      <c r="H272" s="272"/>
      <c r="I272" s="272"/>
      <c r="J272" s="272"/>
      <c r="K272" s="272"/>
      <c r="L272" s="272"/>
      <c r="M272" s="272"/>
      <c r="N272" s="272"/>
      <c r="O272" s="272"/>
      <c r="P272" s="272"/>
      <c r="Q272" s="272"/>
      <c r="R272" s="273"/>
    </row>
    <row r="273" hidden="1" x14ac:dyDescent="0.2"/>
    <row r="274" hidden="1" x14ac:dyDescent="0.2"/>
    <row r="275" hidden="1" x14ac:dyDescent="0.2"/>
    <row r="276" hidden="1" x14ac:dyDescent="0.2"/>
    <row r="277" hidden="1" x14ac:dyDescent="0.2"/>
  </sheetData>
  <mergeCells count="22">
    <mergeCell ref="T3:AV3"/>
    <mergeCell ref="T4:AV4"/>
    <mergeCell ref="T5:AV5"/>
    <mergeCell ref="T83:AV83"/>
    <mergeCell ref="A3:S3"/>
    <mergeCell ref="A4:S4"/>
    <mergeCell ref="A5:S5"/>
    <mergeCell ref="A83:S83"/>
    <mergeCell ref="A189:S189"/>
    <mergeCell ref="A129:S129"/>
    <mergeCell ref="A130:S130"/>
    <mergeCell ref="A84:S84"/>
    <mergeCell ref="T84:AV84"/>
    <mergeCell ref="T128:AV128"/>
    <mergeCell ref="A187:S187"/>
    <mergeCell ref="A188:S188"/>
    <mergeCell ref="T129:AV129"/>
    <mergeCell ref="T130:AV130"/>
    <mergeCell ref="T154:AV154"/>
    <mergeCell ref="A85:S85"/>
    <mergeCell ref="A128:S128"/>
    <mergeCell ref="T85:AV85"/>
  </mergeCells>
  <phoneticPr fontId="4" type="noConversion"/>
  <printOptions horizontalCentered="1"/>
  <pageMargins left="0.5" right="0.5" top="1" bottom="1" header="0.5" footer="0.5"/>
  <pageSetup scale="64" fitToWidth="2" orientation="portrait" r:id="rId1"/>
  <headerFooter alignWithMargins="0"/>
  <rowBreaks count="3" manualBreakCount="3">
    <brk id="79" max="44" man="1"/>
    <brk id="125" max="44" man="1"/>
    <brk id="184" max="44" man="1"/>
  </rowBreaks>
  <colBreaks count="1" manualBreakCount="1">
    <brk id="19" max="2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65"/>
  <sheetViews>
    <sheetView showGridLines="0" view="pageBreakPreview" zoomScaleNormal="100" zoomScaleSheetLayoutView="100" workbookViewId="0">
      <selection activeCell="AC3" sqref="AC1:AU1048576"/>
    </sheetView>
  </sheetViews>
  <sheetFormatPr defaultColWidth="9.28515625" defaultRowHeight="12.75" x14ac:dyDescent="0.2"/>
  <cols>
    <col min="1" max="1" width="52.28515625" style="4" customWidth="1"/>
    <col min="2" max="5" width="10.7109375" style="4" hidden="1" customWidth="1"/>
    <col min="6" max="6" width="10.7109375" style="5" hidden="1" customWidth="1"/>
    <col min="7" max="20" width="10.7109375" style="4" hidden="1" customWidth="1"/>
    <col min="21" max="27" width="10.7109375" style="4" customWidth="1"/>
    <col min="28" max="28" width="10.85546875" style="4" customWidth="1"/>
    <col min="29" max="29" width="52.28515625" style="4" hidden="1" customWidth="1"/>
    <col min="30" max="36" width="11" style="4" hidden="1" customWidth="1"/>
    <col min="37" max="37" width="12.28515625" style="4" hidden="1" customWidth="1"/>
    <col min="38" max="38" width="11" style="4" hidden="1" customWidth="1"/>
    <col min="39" max="39" width="11.28515625" style="4" hidden="1" customWidth="1"/>
    <col min="40" max="40" width="14.5703125" style="4" hidden="1" customWidth="1"/>
    <col min="41" max="46" width="11" style="4" hidden="1" customWidth="1"/>
    <col min="47" max="47" width="13.42578125" style="4" hidden="1" customWidth="1"/>
    <col min="48" max="48" width="9.28515625" style="4" customWidth="1"/>
    <col min="49" max="16384" width="9.28515625" style="4"/>
  </cols>
  <sheetData>
    <row r="1" spans="1:48" ht="15.75" x14ac:dyDescent="0.25">
      <c r="U1" s="15"/>
      <c r="W1" s="15"/>
      <c r="X1" s="15"/>
      <c r="Y1" s="15"/>
      <c r="Z1" s="15"/>
      <c r="AA1" s="15" t="s">
        <v>109</v>
      </c>
      <c r="AC1" s="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6" t="s">
        <v>109</v>
      </c>
      <c r="AV1" s="6"/>
    </row>
    <row r="2" spans="1:48" ht="15.75" x14ac:dyDescent="0.25">
      <c r="U2" s="108"/>
      <c r="W2" s="108"/>
      <c r="X2" s="108"/>
      <c r="Y2" s="108"/>
      <c r="Z2" s="108"/>
      <c r="AA2" s="108" t="s">
        <v>273</v>
      </c>
      <c r="AC2" s="6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8" t="s">
        <v>154</v>
      </c>
      <c r="AV2" s="6"/>
    </row>
    <row r="3" spans="1:48" ht="20.25" x14ac:dyDescent="0.3">
      <c r="A3" s="319" t="str">
        <f>+'Historical - Exhibit 1'!A3</f>
        <v>Questar Gas Company dba Enbridge Gas Utah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53" t="str">
        <f>A3</f>
        <v>Questar Gas Company dba Enbridge Gas Utah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7"/>
      <c r="AV3" s="6"/>
    </row>
    <row r="4" spans="1:48" ht="15.75" x14ac:dyDescent="0.25">
      <c r="A4" s="320" t="s">
        <v>91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14" t="s">
        <v>108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7"/>
      <c r="AV4" s="6"/>
    </row>
    <row r="5" spans="1:48" ht="15" customHeight="1" x14ac:dyDescent="0.25">
      <c r="A5" s="320" t="str">
        <f>'Historical - Exhibit 1'!A5</f>
        <v>Years Ended December 31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14" t="str">
        <f>A5</f>
        <v>Years Ended December 31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7"/>
      <c r="AV5" s="6"/>
    </row>
    <row r="6" spans="1:48" ht="1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8"/>
      <c r="AV6" s="6"/>
    </row>
    <row r="7" spans="1:48" ht="15.75" x14ac:dyDescent="0.25">
      <c r="A7" s="90" t="str">
        <f>+'Historical - Exhibit 1'!A6</f>
        <v>(Dollars in Millions)</v>
      </c>
      <c r="B7" s="318"/>
      <c r="C7" s="318"/>
      <c r="D7" s="318"/>
      <c r="E7" s="318"/>
      <c r="F7" s="318"/>
      <c r="G7" s="318"/>
      <c r="H7" s="91"/>
      <c r="I7" s="92"/>
      <c r="J7" s="92"/>
      <c r="K7" s="92"/>
      <c r="L7" s="92"/>
      <c r="M7" s="101"/>
      <c r="N7" s="101"/>
      <c r="O7" s="135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 t="str">
        <f>+'Historical - Exhibit 1'!R133</f>
        <v>3rd Qrtr</v>
      </c>
      <c r="AC7" s="17"/>
      <c r="AD7" s="17"/>
      <c r="AE7" s="17"/>
      <c r="AF7" s="17"/>
      <c r="AG7" s="17"/>
      <c r="AH7" s="95"/>
      <c r="AI7" s="95"/>
      <c r="AJ7" s="71"/>
      <c r="AK7" s="71"/>
      <c r="AL7" s="71"/>
      <c r="AM7" s="71"/>
      <c r="AN7" s="71"/>
      <c r="AO7" s="101"/>
      <c r="AP7" s="101"/>
      <c r="AQ7" s="101"/>
      <c r="AR7" s="101"/>
      <c r="AS7" s="101"/>
      <c r="AT7" s="212"/>
      <c r="AU7" s="96" t="s">
        <v>201</v>
      </c>
      <c r="AV7" s="6"/>
    </row>
    <row r="8" spans="1:48" ht="15.75" x14ac:dyDescent="0.25">
      <c r="A8" s="90"/>
      <c r="B8" s="93" t="e">
        <f>'Historical - Exhibit 1'!#REF!</f>
        <v>#REF!</v>
      </c>
      <c r="C8" s="93" t="e">
        <f>'Historical - Exhibit 1'!#REF!</f>
        <v>#REF!</v>
      </c>
      <c r="D8" s="93" t="e">
        <f>'Historical - Exhibit 1'!#REF!</f>
        <v>#REF!</v>
      </c>
      <c r="E8" s="93" t="e">
        <f>'Historical - Exhibit 1'!#REF!</f>
        <v>#REF!</v>
      </c>
      <c r="F8" s="93" t="e">
        <f>'Historical - Exhibit 1'!#REF!</f>
        <v>#REF!</v>
      </c>
      <c r="G8" s="93" t="e">
        <f>'Historical - Exhibit 1'!#REF!</f>
        <v>#REF!</v>
      </c>
      <c r="H8" s="93" t="e">
        <f>'Historical - Exhibit 1'!#REF!</f>
        <v>#REF!</v>
      </c>
      <c r="I8" s="93" t="e">
        <f>'Historical - Exhibit 1'!#REF!</f>
        <v>#REF!</v>
      </c>
      <c r="J8" s="93" t="e">
        <f>'Historical - Exhibit 1'!#REF!</f>
        <v>#REF!</v>
      </c>
      <c r="K8" s="93" t="e">
        <f>'Historical - Exhibit 1'!#REF!</f>
        <v>#REF!</v>
      </c>
      <c r="L8" s="93">
        <f>+'Historical - Exhibit 1'!B8</f>
        <v>2009</v>
      </c>
      <c r="M8" s="93">
        <f>'Historical - Exhibit 1'!C8</f>
        <v>2010</v>
      </c>
      <c r="N8" s="93">
        <f>'Historical - Exhibit 1'!D8</f>
        <v>2011</v>
      </c>
      <c r="O8" s="93">
        <f>'Historical - Exhibit 1'!E8</f>
        <v>2012</v>
      </c>
      <c r="P8" s="93">
        <f>'Historical - Exhibit 1'!F8</f>
        <v>2013</v>
      </c>
      <c r="Q8" s="93">
        <f>'Historical - Exhibit 1'!G8</f>
        <v>2014</v>
      </c>
      <c r="R8" s="93">
        <f>'Historical - Exhibit 1'!H8</f>
        <v>2015</v>
      </c>
      <c r="S8" s="93">
        <f>'Historical - Exhibit 1'!I8</f>
        <v>2016</v>
      </c>
      <c r="T8" s="93">
        <f>'Historical - Exhibit 1'!J8</f>
        <v>2017</v>
      </c>
      <c r="U8" s="93">
        <f>'Historical - Exhibit 1'!K8</f>
        <v>2018</v>
      </c>
      <c r="V8" s="93">
        <f>'Historical - Exhibit 1'!L8</f>
        <v>2019</v>
      </c>
      <c r="W8" s="93">
        <f>'Historical - Exhibit 1'!M8</f>
        <v>2020</v>
      </c>
      <c r="X8" s="93">
        <f>'Historical - Exhibit 1'!N8</f>
        <v>2021</v>
      </c>
      <c r="Y8" s="93">
        <f>'Historical - Exhibit 1'!O8</f>
        <v>2022</v>
      </c>
      <c r="Z8" s="93">
        <f>'Historical - Exhibit 1'!P8</f>
        <v>2023</v>
      </c>
      <c r="AA8" s="93">
        <f>'Historical - Exhibit 1'!Q8</f>
        <v>2024</v>
      </c>
      <c r="AB8" s="93">
        <f>'Historical - Exhibit 1'!R8</f>
        <v>2025</v>
      </c>
      <c r="AC8" s="18"/>
      <c r="AD8" s="21" t="e">
        <f t="shared" ref="AD8:AM8" si="0">B8</f>
        <v>#REF!</v>
      </c>
      <c r="AE8" s="21" t="e">
        <f t="shared" si="0"/>
        <v>#REF!</v>
      </c>
      <c r="AF8" s="21" t="e">
        <f t="shared" si="0"/>
        <v>#REF!</v>
      </c>
      <c r="AG8" s="21" t="e">
        <f t="shared" si="0"/>
        <v>#REF!</v>
      </c>
      <c r="AH8" s="93" t="e">
        <f t="shared" si="0"/>
        <v>#REF!</v>
      </c>
      <c r="AI8" s="93" t="e">
        <f t="shared" si="0"/>
        <v>#REF!</v>
      </c>
      <c r="AJ8" s="93" t="e">
        <f t="shared" si="0"/>
        <v>#REF!</v>
      </c>
      <c r="AK8" s="93" t="e">
        <f t="shared" si="0"/>
        <v>#REF!</v>
      </c>
      <c r="AL8" s="93" t="e">
        <f t="shared" si="0"/>
        <v>#REF!</v>
      </c>
      <c r="AM8" s="93" t="e">
        <f t="shared" si="0"/>
        <v>#REF!</v>
      </c>
      <c r="AN8" s="93">
        <f>+L8</f>
        <v>2009</v>
      </c>
      <c r="AO8" s="93">
        <f>M8</f>
        <v>2010</v>
      </c>
      <c r="AP8" s="93">
        <f>N8</f>
        <v>2011</v>
      </c>
      <c r="AQ8" s="93">
        <f>O8</f>
        <v>2012</v>
      </c>
      <c r="AR8" s="93">
        <f>P8</f>
        <v>2013</v>
      </c>
      <c r="AS8" s="93">
        <f>Q8</f>
        <v>2014</v>
      </c>
      <c r="AT8" s="213"/>
      <c r="AU8" s="97" t="s">
        <v>2</v>
      </c>
      <c r="AV8" s="6"/>
    </row>
    <row r="9" spans="1:48" ht="12.75" customHeight="1" x14ac:dyDescent="0.2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8"/>
      <c r="AD9" s="23"/>
      <c r="AE9" s="24"/>
      <c r="AF9" s="24"/>
      <c r="AG9" s="24"/>
      <c r="AH9" s="24"/>
      <c r="AI9" s="24"/>
      <c r="AJ9" s="25"/>
      <c r="AK9" s="24"/>
      <c r="AL9" s="24"/>
      <c r="AM9" s="24"/>
      <c r="AN9" s="24"/>
      <c r="AO9" s="24"/>
      <c r="AP9" s="24"/>
      <c r="AQ9" s="24"/>
      <c r="AR9" s="24"/>
      <c r="AS9" s="24"/>
      <c r="AT9" s="214"/>
      <c r="AU9" s="18"/>
      <c r="AV9" s="6"/>
    </row>
    <row r="10" spans="1:48" ht="15" hidden="1" x14ac:dyDescent="0.2">
      <c r="A10" s="19" t="str">
        <f>+AC10</f>
        <v>Total Revenues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8" t="s">
        <v>53</v>
      </c>
      <c r="AD10" s="94" t="e">
        <f>'Historical - Exhibit 1'!#REF!</f>
        <v>#REF!</v>
      </c>
      <c r="AE10" s="94" t="e">
        <f>'Historical - Exhibit 1'!#REF!</f>
        <v>#REF!</v>
      </c>
      <c r="AF10" s="94" t="e">
        <f>'Historical - Exhibit 1'!#REF!</f>
        <v>#REF!</v>
      </c>
      <c r="AG10" s="94" t="e">
        <f>'Historical - Exhibit 1'!#REF!</f>
        <v>#REF!</v>
      </c>
      <c r="AH10" s="94" t="e">
        <f>'Historical - Exhibit 1'!#REF!</f>
        <v>#REF!</v>
      </c>
      <c r="AI10" s="94" t="e">
        <f>'Historical - Exhibit 1'!#REF!</f>
        <v>#REF!</v>
      </c>
      <c r="AJ10" s="94" t="e">
        <f>'Historical - Exhibit 1'!#REF!</f>
        <v>#REF!</v>
      </c>
      <c r="AK10" s="94" t="e">
        <f>'Historical - Exhibit 1'!#REF!</f>
        <v>#REF!</v>
      </c>
      <c r="AL10" s="94" t="e">
        <f>'Historical - Exhibit 1'!#REF!</f>
        <v>#REF!</v>
      </c>
      <c r="AM10" s="94" t="e">
        <f>'Historical - Exhibit 1'!#REF!</f>
        <v>#REF!</v>
      </c>
      <c r="AN10" s="94">
        <f>'Historical - Exhibit 1'!B94</f>
        <v>919.90000000000009</v>
      </c>
      <c r="AO10" s="94">
        <f>'Historical - Exhibit 1'!C94</f>
        <v>902.90000000000009</v>
      </c>
      <c r="AP10" s="94">
        <f>'Historical - Exhibit 1'!D94</f>
        <v>968.80000000000007</v>
      </c>
      <c r="AQ10" s="94">
        <f>'Historical - Exhibit 1'!E94</f>
        <v>862.19999999999993</v>
      </c>
      <c r="AR10" s="94">
        <f>'Historical - Exhibit 1'!F94</f>
        <v>985.8</v>
      </c>
      <c r="AS10" s="94">
        <f>'Historical - Exhibit 1'!G94</f>
        <v>960.9</v>
      </c>
      <c r="AT10" s="215"/>
      <c r="AU10" s="98">
        <f>AVERAGE(AN10:AR10)</f>
        <v>927.92000000000007</v>
      </c>
      <c r="AV10" s="6"/>
    </row>
    <row r="11" spans="1:48" ht="15" x14ac:dyDescent="0.2">
      <c r="A11" s="27" t="s">
        <v>73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0"/>
      <c r="W11" s="300"/>
      <c r="X11" s="300"/>
      <c r="Y11" s="300"/>
      <c r="Z11" s="300"/>
      <c r="AA11" s="300"/>
      <c r="AB11" s="29"/>
      <c r="AC11" s="30" t="s">
        <v>73</v>
      </c>
      <c r="AD11" s="18"/>
      <c r="AE11" s="18"/>
      <c r="AF11" s="18"/>
      <c r="AG11" s="18"/>
      <c r="AH11" s="31"/>
      <c r="AI11" s="18"/>
      <c r="AJ11" s="18"/>
      <c r="AK11" s="18"/>
      <c r="AL11" s="18"/>
      <c r="AM11" s="18"/>
      <c r="AN11" s="207"/>
      <c r="AO11" s="18"/>
      <c r="AP11" s="18"/>
      <c r="AQ11" s="18"/>
      <c r="AR11" s="18"/>
      <c r="AS11" s="18"/>
      <c r="AT11" s="207"/>
      <c r="AU11" s="18"/>
    </row>
    <row r="12" spans="1:48" ht="15" x14ac:dyDescent="0.2">
      <c r="A12" s="32" t="s">
        <v>74</v>
      </c>
      <c r="B12" s="28" t="e">
        <f>'Historical - Exhibit 1'!#REF!</f>
        <v>#REF!</v>
      </c>
      <c r="C12" s="28" t="e">
        <f>'Historical - Exhibit 1'!#REF!</f>
        <v>#REF!</v>
      </c>
      <c r="D12" s="28" t="e">
        <f>'Historical - Exhibit 1'!#REF!</f>
        <v>#REF!</v>
      </c>
      <c r="E12" s="28" t="e">
        <f>'Historical - Exhibit 1'!#REF!</f>
        <v>#REF!</v>
      </c>
      <c r="F12" s="28" t="e">
        <f>'Historical - Exhibit 1'!#REF!</f>
        <v>#REF!</v>
      </c>
      <c r="G12" s="28" t="e">
        <f>'Historical - Exhibit 1'!#REF!</f>
        <v>#REF!</v>
      </c>
      <c r="H12" s="28" t="e">
        <f>'Historical - Exhibit 1'!#REF!</f>
        <v>#REF!</v>
      </c>
      <c r="I12" s="28" t="e">
        <f>'Historical - Exhibit 1'!#REF!</f>
        <v>#REF!</v>
      </c>
      <c r="J12" s="28" t="e">
        <f>'Historical - Exhibit 1'!#REF!</f>
        <v>#REF!</v>
      </c>
      <c r="K12" s="28" t="e">
        <f>'Historical - Exhibit 1'!#REF!</f>
        <v>#REF!</v>
      </c>
      <c r="L12" s="28">
        <v>41600</v>
      </c>
      <c r="M12" s="198">
        <f>'Historical - Exhibit 1'!C116</f>
        <v>43.90000000000002</v>
      </c>
      <c r="N12" s="198">
        <f>'Historical - Exhibit 1'!D116</f>
        <v>46.100000000000023</v>
      </c>
      <c r="O12" s="198">
        <f>'Historical - Exhibit 1'!E116</f>
        <v>47.099999999999866</v>
      </c>
      <c r="P12" s="198">
        <f>'Historical - Exhibit 1'!F116</f>
        <v>52.799999999999976</v>
      </c>
      <c r="Q12" s="198">
        <f>'Historical - Exhibit 1'!G116</f>
        <v>55.200000000000102</v>
      </c>
      <c r="R12" s="198">
        <f>'Historical - Exhibit 1'!H116</f>
        <v>64.300000000000026</v>
      </c>
      <c r="S12" s="198">
        <f>'Historical - Exhibit 1'!I116</f>
        <v>57.199999999999925</v>
      </c>
      <c r="T12" s="198">
        <f>'Historical - Exhibit 1'!J116</f>
        <v>67.499999999999957</v>
      </c>
      <c r="U12" s="198">
        <f>'Historical - Exhibit 1'!K116</f>
        <v>83.500000000000114</v>
      </c>
      <c r="V12" s="198">
        <f>'Historical - Exhibit 1'!L116</f>
        <v>93.800000000000182</v>
      </c>
      <c r="W12" s="198">
        <f>'Historical - Exhibit 1'!M116</f>
        <v>117.40000000000016</v>
      </c>
      <c r="X12" s="198">
        <f>'Historical - Exhibit 1'!N116</f>
        <v>122.6999999999999</v>
      </c>
      <c r="Y12" s="198">
        <f>'Historical - Exhibit 1'!O116</f>
        <v>128.90000000000012</v>
      </c>
      <c r="Z12" s="198">
        <f>'Historical - Exhibit 1'!P116</f>
        <v>144.40000000000023</v>
      </c>
      <c r="AA12" s="198">
        <f>'Historical - Exhibit 1'!Q116</f>
        <v>131.00000000000014</v>
      </c>
      <c r="AB12" s="198">
        <f>'Historical - Exhibit 1'!R116</f>
        <v>62.19999999999991</v>
      </c>
      <c r="AC12" s="34" t="str">
        <f t="shared" ref="AC12:AC21" si="1">A12</f>
        <v xml:space="preserve">   Net income</v>
      </c>
      <c r="AD12" s="35" t="e">
        <f t="shared" ref="AD12:AS12" si="2">B12/AD$10</f>
        <v>#REF!</v>
      </c>
      <c r="AE12" s="35" t="e">
        <f t="shared" si="2"/>
        <v>#REF!</v>
      </c>
      <c r="AF12" s="35" t="e">
        <f t="shared" si="2"/>
        <v>#REF!</v>
      </c>
      <c r="AG12" s="35" t="e">
        <f t="shared" si="2"/>
        <v>#REF!</v>
      </c>
      <c r="AH12" s="35" t="e">
        <f t="shared" si="2"/>
        <v>#REF!</v>
      </c>
      <c r="AI12" s="35" t="e">
        <f t="shared" si="2"/>
        <v>#REF!</v>
      </c>
      <c r="AJ12" s="35" t="e">
        <f t="shared" si="2"/>
        <v>#REF!</v>
      </c>
      <c r="AK12" s="35" t="e">
        <f t="shared" si="2"/>
        <v>#REF!</v>
      </c>
      <c r="AL12" s="35" t="e">
        <f t="shared" si="2"/>
        <v>#REF!</v>
      </c>
      <c r="AM12" s="35" t="e">
        <f t="shared" si="2"/>
        <v>#REF!</v>
      </c>
      <c r="AN12" s="208">
        <f t="shared" si="2"/>
        <v>45.222306772475264</v>
      </c>
      <c r="AO12" s="35">
        <f t="shared" si="2"/>
        <v>4.8621109757448239E-2</v>
      </c>
      <c r="AP12" s="35">
        <f t="shared" si="2"/>
        <v>4.75846407927333E-2</v>
      </c>
      <c r="AQ12" s="35">
        <f t="shared" si="2"/>
        <v>5.4627696590118152E-2</v>
      </c>
      <c r="AR12" s="35">
        <f t="shared" si="2"/>
        <v>5.356055995130856E-2</v>
      </c>
      <c r="AS12" s="35">
        <f t="shared" si="2"/>
        <v>5.7446144239775315E-2</v>
      </c>
      <c r="AT12" s="208"/>
      <c r="AU12" s="35">
        <f>AVERAGE(AN12:AR12)</f>
        <v>9.0853401559133751</v>
      </c>
    </row>
    <row r="13" spans="1:48" ht="15" x14ac:dyDescent="0.2">
      <c r="A13" s="27" t="s">
        <v>75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34" t="str">
        <f t="shared" si="1"/>
        <v xml:space="preserve">   Adjustments to reconcile net income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208"/>
      <c r="AO13" s="35"/>
      <c r="AP13" s="35"/>
      <c r="AQ13" s="35"/>
      <c r="AR13" s="35"/>
      <c r="AS13" s="35"/>
      <c r="AT13" s="208"/>
      <c r="AU13" s="26"/>
    </row>
    <row r="14" spans="1:48" ht="15" x14ac:dyDescent="0.2">
      <c r="A14" s="32" t="s">
        <v>76</v>
      </c>
      <c r="B14" s="28">
        <v>39479</v>
      </c>
      <c r="C14" s="29">
        <v>37994</v>
      </c>
      <c r="D14" s="29">
        <v>38310</v>
      </c>
      <c r="E14" s="29">
        <v>42782</v>
      </c>
      <c r="F14" s="29">
        <v>43215</v>
      </c>
      <c r="G14" s="29">
        <v>45700</v>
      </c>
      <c r="H14" s="36">
        <v>50100</v>
      </c>
      <c r="I14" s="36">
        <v>44800</v>
      </c>
      <c r="J14" s="36">
        <f>42700</f>
        <v>42700</v>
      </c>
      <c r="K14" s="36">
        <v>45200</v>
      </c>
      <c r="L14" s="36">
        <v>47800</v>
      </c>
      <c r="M14" s="200">
        <v>48</v>
      </c>
      <c r="N14" s="200">
        <v>49.2</v>
      </c>
      <c r="O14" s="200">
        <v>52.1</v>
      </c>
      <c r="P14" s="200">
        <v>54.7</v>
      </c>
      <c r="Q14" s="200">
        <v>58.8</v>
      </c>
      <c r="R14" s="200">
        <v>60.6</v>
      </c>
      <c r="S14" s="200">
        <v>61</v>
      </c>
      <c r="T14" s="200">
        <v>70.3</v>
      </c>
      <c r="U14" s="200">
        <v>75.599999999999994</v>
      </c>
      <c r="V14" s="200">
        <v>78.3</v>
      </c>
      <c r="W14" s="200">
        <v>82.4</v>
      </c>
      <c r="X14" s="200">
        <v>86.4</v>
      </c>
      <c r="Y14" s="200">
        <v>93.6</v>
      </c>
      <c r="Z14" s="200">
        <v>106.4</v>
      </c>
      <c r="AA14" s="200">
        <v>120.1</v>
      </c>
      <c r="AB14" s="200">
        <v>89.7</v>
      </c>
      <c r="AC14" s="34" t="str">
        <f t="shared" si="1"/>
        <v xml:space="preserve">       Depreciation and amortization</v>
      </c>
      <c r="AD14" s="35" t="e">
        <f t="shared" ref="AD14:AS15" si="3">B14/AD$10</f>
        <v>#REF!</v>
      </c>
      <c r="AE14" s="35" t="e">
        <f t="shared" si="3"/>
        <v>#REF!</v>
      </c>
      <c r="AF14" s="35" t="e">
        <f t="shared" si="3"/>
        <v>#REF!</v>
      </c>
      <c r="AG14" s="35" t="e">
        <f t="shared" si="3"/>
        <v>#REF!</v>
      </c>
      <c r="AH14" s="35" t="e">
        <f t="shared" si="3"/>
        <v>#REF!</v>
      </c>
      <c r="AI14" s="35" t="e">
        <f t="shared" si="3"/>
        <v>#REF!</v>
      </c>
      <c r="AJ14" s="35" t="e">
        <f t="shared" si="3"/>
        <v>#REF!</v>
      </c>
      <c r="AK14" s="35" t="e">
        <f t="shared" si="3"/>
        <v>#REF!</v>
      </c>
      <c r="AL14" s="35" t="e">
        <f t="shared" si="3"/>
        <v>#REF!</v>
      </c>
      <c r="AM14" s="35" t="e">
        <f t="shared" si="3"/>
        <v>#REF!</v>
      </c>
      <c r="AN14" s="208">
        <f t="shared" si="3"/>
        <v>51.962169801065329</v>
      </c>
      <c r="AO14" s="35">
        <f t="shared" si="3"/>
        <v>5.3162033447779374E-2</v>
      </c>
      <c r="AP14" s="35">
        <f t="shared" si="3"/>
        <v>5.0784475639966971E-2</v>
      </c>
      <c r="AQ14" s="35">
        <f t="shared" si="3"/>
        <v>6.0426815124101141E-2</v>
      </c>
      <c r="AR14" s="35">
        <f t="shared" si="3"/>
        <v>5.5487928585920068E-2</v>
      </c>
      <c r="AS14" s="35">
        <f t="shared" si="3"/>
        <v>6.1192631907586635E-2</v>
      </c>
      <c r="AT14" s="208"/>
      <c r="AU14" s="35">
        <f>AVERAGE(AN14:AR14)</f>
        <v>10.436406210772619</v>
      </c>
    </row>
    <row r="15" spans="1:48" ht="15" x14ac:dyDescent="0.2">
      <c r="A15" s="32" t="s">
        <v>77</v>
      </c>
      <c r="B15" s="37">
        <v>5320</v>
      </c>
      <c r="C15" s="29">
        <v>13637</v>
      </c>
      <c r="D15" s="29">
        <v>-12374</v>
      </c>
      <c r="E15" s="29">
        <v>2243</v>
      </c>
      <c r="F15" s="29">
        <v>9636</v>
      </c>
      <c r="G15" s="29">
        <v>32300</v>
      </c>
      <c r="H15" s="29">
        <v>3700</v>
      </c>
      <c r="I15" s="29">
        <v>-15200</v>
      </c>
      <c r="J15" s="29">
        <f>4000</f>
        <v>4000</v>
      </c>
      <c r="K15" s="29">
        <v>30300</v>
      </c>
      <c r="L15" s="29">
        <v>34100</v>
      </c>
      <c r="M15" s="201">
        <v>43.6</v>
      </c>
      <c r="N15" s="201">
        <v>25.2</v>
      </c>
      <c r="O15" s="201">
        <v>45.9</v>
      </c>
      <c r="P15" s="201">
        <v>37.700000000000003</v>
      </c>
      <c r="Q15" s="201">
        <v>46</v>
      </c>
      <c r="R15" s="201">
        <v>52.9</v>
      </c>
      <c r="S15" s="201">
        <v>35.700000000000003</v>
      </c>
      <c r="T15" s="201">
        <v>45.2</v>
      </c>
      <c r="U15" s="201">
        <v>6.3</v>
      </c>
      <c r="V15" s="201">
        <v>20.8</v>
      </c>
      <c r="W15" s="201">
        <v>11.3</v>
      </c>
      <c r="X15" s="201">
        <v>16.8</v>
      </c>
      <c r="Y15" s="201">
        <v>44</v>
      </c>
      <c r="Z15" s="201">
        <v>3</v>
      </c>
      <c r="AA15" s="201">
        <v>-87.7</v>
      </c>
      <c r="AB15" s="201">
        <v>14</v>
      </c>
      <c r="AC15" s="34" t="str">
        <f t="shared" si="1"/>
        <v xml:space="preserve">       Deferred income taxes and investment tax credits - net</v>
      </c>
      <c r="AD15" s="35" t="e">
        <f t="shared" si="3"/>
        <v>#REF!</v>
      </c>
      <c r="AE15" s="35" t="e">
        <f t="shared" si="3"/>
        <v>#REF!</v>
      </c>
      <c r="AF15" s="35" t="e">
        <f t="shared" si="3"/>
        <v>#REF!</v>
      </c>
      <c r="AG15" s="35" t="e">
        <f t="shared" si="3"/>
        <v>#REF!</v>
      </c>
      <c r="AH15" s="35" t="e">
        <f t="shared" si="3"/>
        <v>#REF!</v>
      </c>
      <c r="AI15" s="35" t="e">
        <f t="shared" si="3"/>
        <v>#REF!</v>
      </c>
      <c r="AJ15" s="35" t="e">
        <f t="shared" si="3"/>
        <v>#REF!</v>
      </c>
      <c r="AK15" s="35" t="e">
        <f t="shared" si="3"/>
        <v>#REF!</v>
      </c>
      <c r="AL15" s="35" t="e">
        <f t="shared" si="3"/>
        <v>#REF!</v>
      </c>
      <c r="AM15" s="35" t="e">
        <f t="shared" si="3"/>
        <v>#REF!</v>
      </c>
      <c r="AN15" s="208">
        <f t="shared" si="3"/>
        <v>37.069246657245351</v>
      </c>
      <c r="AO15" s="35">
        <f t="shared" si="3"/>
        <v>4.82888470483996E-2</v>
      </c>
      <c r="AP15" s="35">
        <f t="shared" si="3"/>
        <v>2.6011560693641616E-2</v>
      </c>
      <c r="AQ15" s="35">
        <f t="shared" si="3"/>
        <v>5.3235908141962426E-2</v>
      </c>
      <c r="AR15" s="35">
        <f t="shared" si="3"/>
        <v>3.8243051328869959E-2</v>
      </c>
      <c r="AS15" s="35">
        <f t="shared" si="3"/>
        <v>4.7871786866479346E-2</v>
      </c>
      <c r="AT15" s="208"/>
      <c r="AU15" s="35">
        <f>AVERAGE(AN15:AR15)</f>
        <v>7.447005204891644</v>
      </c>
    </row>
    <row r="16" spans="1:48" ht="15" x14ac:dyDescent="0.2">
      <c r="A16" s="32" t="s">
        <v>282</v>
      </c>
      <c r="B16" s="37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>
        <v>-5</v>
      </c>
      <c r="X16" s="201">
        <v>-2.6</v>
      </c>
      <c r="Y16" s="201">
        <v>-2.6</v>
      </c>
      <c r="Z16" s="201">
        <v>2.9</v>
      </c>
      <c r="AA16" s="201">
        <v>4.0999999999999996</v>
      </c>
      <c r="AB16" s="201">
        <v>-0.3</v>
      </c>
      <c r="AC16" s="34" t="str">
        <f t="shared" si="1"/>
        <v xml:space="preserve">       Other adjustments for non-cash items</v>
      </c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208"/>
      <c r="AO16" s="35"/>
      <c r="AP16" s="35"/>
      <c r="AQ16" s="35"/>
      <c r="AR16" s="35"/>
      <c r="AS16" s="35"/>
      <c r="AT16" s="208"/>
      <c r="AU16" s="35"/>
    </row>
    <row r="17" spans="1:47" ht="15" x14ac:dyDescent="0.2">
      <c r="A17" s="32" t="s">
        <v>227</v>
      </c>
      <c r="B17" s="3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199">
        <v>1.4</v>
      </c>
      <c r="N17" s="199">
        <v>1.1000000000000001</v>
      </c>
      <c r="O17" s="199">
        <v>1.2</v>
      </c>
      <c r="P17" s="201">
        <v>1.4</v>
      </c>
      <c r="Q17" s="201">
        <v>1.6</v>
      </c>
      <c r="R17" s="201">
        <v>1.4</v>
      </c>
      <c r="S17" s="201">
        <v>3.2</v>
      </c>
      <c r="T17" s="201">
        <v>0.9</v>
      </c>
      <c r="U17" s="201">
        <v>0.7</v>
      </c>
      <c r="V17" s="201">
        <v>0.6</v>
      </c>
      <c r="W17" s="201"/>
      <c r="X17" s="201"/>
      <c r="Y17" s="201"/>
      <c r="Z17" s="201"/>
      <c r="AA17" s="201"/>
      <c r="AB17" s="201"/>
      <c r="AC17" s="34" t="str">
        <f t="shared" si="1"/>
        <v xml:space="preserve">       Share-based compensation</v>
      </c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208"/>
      <c r="AO17" s="35"/>
      <c r="AP17" s="35"/>
      <c r="AQ17" s="35"/>
      <c r="AR17" s="35"/>
      <c r="AS17" s="35"/>
      <c r="AT17" s="208"/>
      <c r="AU17" s="35"/>
    </row>
    <row r="18" spans="1:47" ht="15" x14ac:dyDescent="0.2">
      <c r="A18" s="38" t="s">
        <v>98</v>
      </c>
      <c r="B18" s="37">
        <v>0</v>
      </c>
      <c r="C18" s="29">
        <v>-103</v>
      </c>
      <c r="D18" s="29">
        <v>-1195</v>
      </c>
      <c r="E18" s="29">
        <v>422</v>
      </c>
      <c r="F18" s="29">
        <v>14</v>
      </c>
      <c r="G18" s="29">
        <v>200</v>
      </c>
      <c r="H18" s="29"/>
      <c r="I18" s="29">
        <v>300</v>
      </c>
      <c r="J18" s="29"/>
      <c r="K18" s="29"/>
      <c r="L18" s="29"/>
      <c r="M18" s="199"/>
      <c r="N18" s="199"/>
      <c r="O18" s="199"/>
      <c r="P18" s="201"/>
      <c r="Q18" s="201">
        <v>-0.1</v>
      </c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34" t="str">
        <f t="shared" si="1"/>
        <v xml:space="preserve">       (Gain) Loss on sale of assets</v>
      </c>
      <c r="AD18" s="35" t="e">
        <f t="shared" ref="AD18:AI18" si="4">B18/AD$10</f>
        <v>#REF!</v>
      </c>
      <c r="AE18" s="35" t="e">
        <f t="shared" si="4"/>
        <v>#REF!</v>
      </c>
      <c r="AF18" s="35" t="e">
        <f t="shared" si="4"/>
        <v>#REF!</v>
      </c>
      <c r="AG18" s="35" t="e">
        <f t="shared" si="4"/>
        <v>#REF!</v>
      </c>
      <c r="AH18" s="35" t="e">
        <f t="shared" si="4"/>
        <v>#REF!</v>
      </c>
      <c r="AI18" s="35" t="e">
        <f t="shared" si="4"/>
        <v>#REF!</v>
      </c>
      <c r="AJ18" s="35"/>
      <c r="AK18" s="35" t="e">
        <f>I18/AK$10</f>
        <v>#REF!</v>
      </c>
      <c r="AL18" s="35"/>
      <c r="AM18" s="35"/>
      <c r="AN18" s="208"/>
      <c r="AO18" s="35"/>
      <c r="AP18" s="35"/>
      <c r="AQ18" s="35"/>
      <c r="AR18" s="35"/>
      <c r="AS18" s="35"/>
      <c r="AT18" s="208"/>
      <c r="AU18" s="26"/>
    </row>
    <row r="19" spans="1:47" ht="15" hidden="1" x14ac:dyDescent="0.2">
      <c r="A19" s="38" t="s">
        <v>122</v>
      </c>
      <c r="B19" s="37">
        <v>0</v>
      </c>
      <c r="C19" s="29">
        <v>0</v>
      </c>
      <c r="D19" s="29">
        <v>0</v>
      </c>
      <c r="E19" s="29">
        <v>0</v>
      </c>
      <c r="F19" s="29">
        <v>334</v>
      </c>
      <c r="G19" s="29"/>
      <c r="H19" s="29"/>
      <c r="I19" s="29">
        <v>700</v>
      </c>
      <c r="J19" s="29">
        <v>700</v>
      </c>
      <c r="K19" s="29">
        <v>1200</v>
      </c>
      <c r="L19" s="29">
        <v>1000</v>
      </c>
      <c r="M19" s="199"/>
      <c r="N19" s="199"/>
      <c r="O19" s="199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34" t="str">
        <f t="shared" si="1"/>
        <v xml:space="preserve">       Cumulative Affect of Accounting Chng and Other</v>
      </c>
      <c r="AD19" s="35" t="e">
        <f>B19/AD$10</f>
        <v>#REF!</v>
      </c>
      <c r="AE19" s="35" t="e">
        <f>C19/AE$10</f>
        <v>#REF!</v>
      </c>
      <c r="AF19" s="35" t="e">
        <f>D19/AF$10</f>
        <v>#REF!</v>
      </c>
      <c r="AG19" s="35" t="e">
        <f>E19/AG$10</f>
        <v>#REF!</v>
      </c>
      <c r="AH19" s="35" t="e">
        <f>F19/AH$10</f>
        <v>#REF!</v>
      </c>
      <c r="AI19" s="35"/>
      <c r="AJ19" s="35"/>
      <c r="AK19" s="35" t="e">
        <f>I19/AK$10</f>
        <v>#REF!</v>
      </c>
      <c r="AL19" s="35" t="e">
        <f t="shared" ref="AL19:AS19" si="5">J19/AL$10</f>
        <v>#REF!</v>
      </c>
      <c r="AM19" s="35" t="e">
        <f t="shared" si="5"/>
        <v>#REF!</v>
      </c>
      <c r="AN19" s="208">
        <f t="shared" si="5"/>
        <v>1.0870746820306554</v>
      </c>
      <c r="AO19" s="35">
        <f t="shared" si="5"/>
        <v>0</v>
      </c>
      <c r="AP19" s="35">
        <f t="shared" si="5"/>
        <v>0</v>
      </c>
      <c r="AQ19" s="35">
        <f t="shared" si="5"/>
        <v>0</v>
      </c>
      <c r="AR19" s="35">
        <f t="shared" si="5"/>
        <v>0</v>
      </c>
      <c r="AS19" s="35">
        <f t="shared" si="5"/>
        <v>0</v>
      </c>
      <c r="AT19" s="208"/>
      <c r="AU19" s="35">
        <f>AVERAGE(AN19:AR19)</f>
        <v>0.21741493640613108</v>
      </c>
    </row>
    <row r="20" spans="1:47" ht="15" x14ac:dyDescent="0.2">
      <c r="A20" s="27" t="s">
        <v>78</v>
      </c>
      <c r="B20" s="28"/>
      <c r="C20" s="29"/>
      <c r="D20" s="29"/>
      <c r="E20" s="39"/>
      <c r="F20" s="39"/>
      <c r="G20" s="29"/>
      <c r="H20" s="29"/>
      <c r="I20" s="29"/>
      <c r="J20" s="29"/>
      <c r="K20" s="29"/>
      <c r="L20" s="29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34" t="str">
        <f t="shared" si="1"/>
        <v xml:space="preserve">   Changes in: 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208"/>
      <c r="AO20" s="35"/>
      <c r="AP20" s="35"/>
      <c r="AQ20" s="35"/>
      <c r="AR20" s="35"/>
      <c r="AS20" s="35"/>
      <c r="AT20" s="208"/>
      <c r="AU20" s="26"/>
    </row>
    <row r="21" spans="1:47" ht="15" x14ac:dyDescent="0.2">
      <c r="A21" s="40" t="s">
        <v>97</v>
      </c>
      <c r="B21" s="22">
        <v>-2586</v>
      </c>
      <c r="C21" s="29">
        <v>-32003</v>
      </c>
      <c r="D21" s="29">
        <v>7402</v>
      </c>
      <c r="E21" s="29">
        <v>25099</v>
      </c>
      <c r="F21" s="29">
        <v>-22359</v>
      </c>
      <c r="G21" s="29">
        <v>-5800</v>
      </c>
      <c r="H21" s="29">
        <v>-53100</v>
      </c>
      <c r="I21" s="29">
        <v>36600</v>
      </c>
      <c r="J21" s="29"/>
      <c r="K21" s="29">
        <v>-21600</v>
      </c>
      <c r="L21" s="29">
        <v>7700</v>
      </c>
      <c r="M21" s="201">
        <v>-4.4000000000000004</v>
      </c>
      <c r="N21" s="201">
        <v>5</v>
      </c>
      <c r="O21" s="201">
        <v>-12.7</v>
      </c>
      <c r="P21" s="201">
        <v>-43.7</v>
      </c>
      <c r="Q21" s="201">
        <v>4.5999999999999996</v>
      </c>
      <c r="R21" s="201">
        <v>-32.700000000000003</v>
      </c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34" t="str">
        <f t="shared" si="1"/>
        <v xml:space="preserve">      Accounts receivable</v>
      </c>
      <c r="AD21" s="35" t="e">
        <f t="shared" ref="AD21:AK21" si="6">B21/AD$10</f>
        <v>#REF!</v>
      </c>
      <c r="AE21" s="35" t="e">
        <f t="shared" si="6"/>
        <v>#REF!</v>
      </c>
      <c r="AF21" s="35" t="e">
        <f t="shared" si="6"/>
        <v>#REF!</v>
      </c>
      <c r="AG21" s="35" t="e">
        <f t="shared" si="6"/>
        <v>#REF!</v>
      </c>
      <c r="AH21" s="35" t="e">
        <f t="shared" si="6"/>
        <v>#REF!</v>
      </c>
      <c r="AI21" s="35" t="e">
        <f t="shared" si="6"/>
        <v>#REF!</v>
      </c>
      <c r="AJ21" s="35" t="e">
        <f t="shared" si="6"/>
        <v>#REF!</v>
      </c>
      <c r="AK21" s="35" t="e">
        <f t="shared" si="6"/>
        <v>#REF!</v>
      </c>
      <c r="AL21" s="35"/>
      <c r="AM21" s="35" t="e">
        <f t="shared" ref="AM21:AS21" si="7">K21/AM$10</f>
        <v>#REF!</v>
      </c>
      <c r="AN21" s="208">
        <f t="shared" si="7"/>
        <v>8.3704750516360473</v>
      </c>
      <c r="AO21" s="35">
        <f t="shared" si="7"/>
        <v>-4.8731863993797765E-3</v>
      </c>
      <c r="AP21" s="35">
        <f t="shared" si="7"/>
        <v>5.1610239471511143E-3</v>
      </c>
      <c r="AQ21" s="35">
        <f t="shared" si="7"/>
        <v>-1.47297610763164E-2</v>
      </c>
      <c r="AR21" s="35">
        <f t="shared" si="7"/>
        <v>-4.4329478596064113E-2</v>
      </c>
      <c r="AS21" s="35">
        <f t="shared" si="7"/>
        <v>4.7871786866479343E-3</v>
      </c>
      <c r="AT21" s="208"/>
      <c r="AU21" s="35">
        <f>AVERAGE(AN21:AR21)</f>
        <v>1.6623407299022879</v>
      </c>
    </row>
    <row r="22" spans="1:47" ht="15" x14ac:dyDescent="0.2">
      <c r="A22" s="40" t="s">
        <v>234</v>
      </c>
      <c r="B22" s="2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01"/>
      <c r="N22" s="201"/>
      <c r="O22" s="201"/>
      <c r="P22" s="201"/>
      <c r="Q22" s="201"/>
      <c r="R22" s="201"/>
      <c r="S22" s="201">
        <v>44</v>
      </c>
      <c r="T22" s="201">
        <v>-42.6</v>
      </c>
      <c r="U22" s="201">
        <v>46.8</v>
      </c>
      <c r="V22" s="201">
        <v>-87.1</v>
      </c>
      <c r="W22" s="201">
        <v>-18.899999999999999</v>
      </c>
      <c r="X22" s="201">
        <v>-65.3</v>
      </c>
      <c r="Y22" s="201">
        <v>-58.8</v>
      </c>
      <c r="Z22" s="201">
        <v>-184.5</v>
      </c>
      <c r="AA22" s="201">
        <v>443.9</v>
      </c>
      <c r="AB22" s="201">
        <v>46</v>
      </c>
      <c r="AC22" s="34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208"/>
      <c r="AO22" s="35"/>
      <c r="AP22" s="35"/>
      <c r="AQ22" s="35"/>
      <c r="AR22" s="35"/>
      <c r="AS22" s="35"/>
      <c r="AT22" s="208"/>
      <c r="AU22" s="35"/>
    </row>
    <row r="23" spans="1:47" ht="15" hidden="1" x14ac:dyDescent="0.2">
      <c r="A23" s="40" t="s">
        <v>165</v>
      </c>
      <c r="B23" s="37">
        <v>616</v>
      </c>
      <c r="C23" s="29">
        <v>-4306</v>
      </c>
      <c r="D23" s="29">
        <v>-877</v>
      </c>
      <c r="E23" s="29">
        <v>208</v>
      </c>
      <c r="F23" s="29">
        <v>-1172</v>
      </c>
      <c r="G23" s="29">
        <v>-22000</v>
      </c>
      <c r="H23" s="29">
        <v>-14200</v>
      </c>
      <c r="I23" s="29">
        <v>6200</v>
      </c>
      <c r="J23" s="29">
        <f>8000</f>
        <v>8000</v>
      </c>
      <c r="K23" s="29">
        <v>-23600</v>
      </c>
      <c r="L23" s="29">
        <v>21200</v>
      </c>
      <c r="M23" s="201">
        <v>3.4</v>
      </c>
      <c r="N23" s="201">
        <v>-1.3</v>
      </c>
      <c r="O23" s="201">
        <v>0.7</v>
      </c>
      <c r="P23" s="201">
        <v>0.5</v>
      </c>
      <c r="Q23" s="201">
        <v>-8.1999999999999993</v>
      </c>
      <c r="R23" s="201">
        <v>-1.5</v>
      </c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34" t="str">
        <f t="shared" ref="AC23:AC28" si="8">A23</f>
        <v xml:space="preserve">      Inventories</v>
      </c>
      <c r="AD23" s="35" t="e">
        <f t="shared" ref="AD23:AS24" si="9">B23/AD$10</f>
        <v>#REF!</v>
      </c>
      <c r="AE23" s="35" t="e">
        <f t="shared" si="9"/>
        <v>#REF!</v>
      </c>
      <c r="AF23" s="35" t="e">
        <f t="shared" si="9"/>
        <v>#REF!</v>
      </c>
      <c r="AG23" s="35" t="e">
        <f t="shared" si="9"/>
        <v>#REF!</v>
      </c>
      <c r="AH23" s="35" t="e">
        <f t="shared" si="9"/>
        <v>#REF!</v>
      </c>
      <c r="AI23" s="35" t="e">
        <f t="shared" si="9"/>
        <v>#REF!</v>
      </c>
      <c r="AJ23" s="35" t="e">
        <f t="shared" si="9"/>
        <v>#REF!</v>
      </c>
      <c r="AK23" s="35" t="e">
        <f t="shared" si="9"/>
        <v>#REF!</v>
      </c>
      <c r="AL23" s="35" t="e">
        <f t="shared" si="9"/>
        <v>#REF!</v>
      </c>
      <c r="AM23" s="35" t="e">
        <f t="shared" si="9"/>
        <v>#REF!</v>
      </c>
      <c r="AN23" s="208">
        <f t="shared" si="9"/>
        <v>23.045983259049894</v>
      </c>
      <c r="AO23" s="35">
        <f t="shared" si="9"/>
        <v>3.7656440358843721E-3</v>
      </c>
      <c r="AP23" s="35">
        <f t="shared" si="9"/>
        <v>-1.3418662262592899E-3</v>
      </c>
      <c r="AQ23" s="35">
        <f t="shared" si="9"/>
        <v>8.1187659475759691E-4</v>
      </c>
      <c r="AR23" s="35">
        <f t="shared" si="9"/>
        <v>5.0720227226617976E-4</v>
      </c>
      <c r="AS23" s="35">
        <f t="shared" si="9"/>
        <v>-8.5336663544593599E-3</v>
      </c>
      <c r="AT23" s="208"/>
      <c r="AU23" s="35">
        <f>AVERAGE(AN23:AR23)</f>
        <v>4.6099452231453082</v>
      </c>
    </row>
    <row r="24" spans="1:47" ht="15" hidden="1" x14ac:dyDescent="0.2">
      <c r="A24" s="40" t="s">
        <v>99</v>
      </c>
      <c r="B24" s="37">
        <v>-3019</v>
      </c>
      <c r="C24" s="29">
        <v>61717</v>
      </c>
      <c r="D24" s="29">
        <v>-47661</v>
      </c>
      <c r="E24" s="29">
        <v>-4164</v>
      </c>
      <c r="F24" s="29">
        <v>13832</v>
      </c>
      <c r="G24" s="29">
        <v>40200</v>
      </c>
      <c r="H24" s="29">
        <v>52200</v>
      </c>
      <c r="I24" s="29">
        <v>-27300</v>
      </c>
      <c r="J24" s="29">
        <f>10300</f>
        <v>10300</v>
      </c>
      <c r="K24" s="29">
        <v>4300</v>
      </c>
      <c r="L24" s="29">
        <f>-1400+800+7900</f>
        <v>7300</v>
      </c>
      <c r="M24" s="201">
        <v>-21.6</v>
      </c>
      <c r="N24" s="201">
        <v>-1.8</v>
      </c>
      <c r="O24" s="201">
        <v>7.8</v>
      </c>
      <c r="P24" s="201">
        <v>29.5</v>
      </c>
      <c r="Q24" s="201">
        <v>-0.2</v>
      </c>
      <c r="R24" s="201">
        <v>12.7</v>
      </c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34" t="str">
        <f t="shared" si="8"/>
        <v xml:space="preserve">      Accounts payable and accrued expenses</v>
      </c>
      <c r="AD24" s="35" t="e">
        <f t="shared" si="9"/>
        <v>#REF!</v>
      </c>
      <c r="AE24" s="35" t="e">
        <f t="shared" si="9"/>
        <v>#REF!</v>
      </c>
      <c r="AF24" s="35" t="e">
        <f t="shared" si="9"/>
        <v>#REF!</v>
      </c>
      <c r="AG24" s="35" t="e">
        <f t="shared" si="9"/>
        <v>#REF!</v>
      </c>
      <c r="AH24" s="35" t="e">
        <f t="shared" si="9"/>
        <v>#REF!</v>
      </c>
      <c r="AI24" s="35" t="e">
        <f t="shared" si="9"/>
        <v>#REF!</v>
      </c>
      <c r="AJ24" s="35" t="e">
        <f t="shared" si="9"/>
        <v>#REF!</v>
      </c>
      <c r="AK24" s="35" t="e">
        <f t="shared" si="9"/>
        <v>#REF!</v>
      </c>
      <c r="AL24" s="35" t="e">
        <f t="shared" si="9"/>
        <v>#REF!</v>
      </c>
      <c r="AM24" s="35" t="e">
        <f t="shared" si="9"/>
        <v>#REF!</v>
      </c>
      <c r="AN24" s="208">
        <f t="shared" si="9"/>
        <v>7.9356451788237843</v>
      </c>
      <c r="AO24" s="35">
        <f t="shared" si="9"/>
        <v>-2.392291505150072E-2</v>
      </c>
      <c r="AP24" s="35">
        <f t="shared" si="9"/>
        <v>-1.8579686209744012E-3</v>
      </c>
      <c r="AQ24" s="35">
        <f t="shared" si="9"/>
        <v>9.046624913013222E-3</v>
      </c>
      <c r="AR24" s="35">
        <f t="shared" si="9"/>
        <v>2.9924934063704608E-2</v>
      </c>
      <c r="AS24" s="35">
        <f t="shared" si="9"/>
        <v>-2.081382037673015E-4</v>
      </c>
      <c r="AT24" s="208"/>
      <c r="AU24" s="35">
        <f>AVERAGE(AN24:AR24)</f>
        <v>1.5897671708256054</v>
      </c>
    </row>
    <row r="25" spans="1:47" ht="15" hidden="1" x14ac:dyDescent="0.2">
      <c r="A25" s="40" t="s">
        <v>100</v>
      </c>
      <c r="B25" s="37">
        <v>0</v>
      </c>
      <c r="C25" s="29">
        <v>0</v>
      </c>
      <c r="D25" s="29">
        <v>0</v>
      </c>
      <c r="E25" s="29">
        <v>0</v>
      </c>
      <c r="F25" s="29">
        <v>24939</v>
      </c>
      <c r="G25" s="29">
        <v>-4300</v>
      </c>
      <c r="H25" s="29">
        <v>-20600</v>
      </c>
      <c r="I25" s="29"/>
      <c r="J25" s="29"/>
      <c r="K25" s="29"/>
      <c r="L25" s="29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34" t="str">
        <f t="shared" si="8"/>
        <v xml:space="preserve">      Rate-refund obligation</v>
      </c>
      <c r="AD25" s="35" t="e">
        <f t="shared" ref="AD25:AJ27" si="10">B25/AD$10</f>
        <v>#REF!</v>
      </c>
      <c r="AE25" s="35" t="e">
        <f t="shared" si="10"/>
        <v>#REF!</v>
      </c>
      <c r="AF25" s="35" t="e">
        <f t="shared" si="10"/>
        <v>#REF!</v>
      </c>
      <c r="AG25" s="35" t="e">
        <f t="shared" si="10"/>
        <v>#REF!</v>
      </c>
      <c r="AH25" s="35" t="e">
        <f t="shared" si="10"/>
        <v>#REF!</v>
      </c>
      <c r="AI25" s="35" t="e">
        <f t="shared" si="10"/>
        <v>#REF!</v>
      </c>
      <c r="AJ25" s="35" t="e">
        <f t="shared" si="10"/>
        <v>#REF!</v>
      </c>
      <c r="AK25" s="35"/>
      <c r="AL25" s="35"/>
      <c r="AM25" s="35"/>
      <c r="AN25" s="208"/>
      <c r="AO25" s="35"/>
      <c r="AP25" s="35"/>
      <c r="AQ25" s="35"/>
      <c r="AR25" s="35"/>
      <c r="AS25" s="35"/>
      <c r="AT25" s="208"/>
      <c r="AU25" s="26"/>
    </row>
    <row r="26" spans="1:47" ht="15" hidden="1" x14ac:dyDescent="0.2">
      <c r="A26" s="40" t="s">
        <v>101</v>
      </c>
      <c r="B26" s="37">
        <v>1635</v>
      </c>
      <c r="C26" s="29">
        <v>-35133</v>
      </c>
      <c r="D26" s="29">
        <v>27246</v>
      </c>
      <c r="E26" s="29">
        <v>21578</v>
      </c>
      <c r="F26" s="29">
        <v>-13834</v>
      </c>
      <c r="G26" s="29">
        <v>-35300</v>
      </c>
      <c r="H26" s="29">
        <v>-4000</v>
      </c>
      <c r="I26" s="29">
        <v>81700</v>
      </c>
      <c r="J26" s="29">
        <f>16200</f>
        <v>16200</v>
      </c>
      <c r="K26" s="29">
        <v>-12300</v>
      </c>
      <c r="L26" s="29">
        <v>-23700</v>
      </c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34" t="str">
        <f t="shared" si="8"/>
        <v xml:space="preserve">      Purchased-gas adjustments</v>
      </c>
      <c r="AD26" s="35" t="e">
        <f t="shared" si="10"/>
        <v>#REF!</v>
      </c>
      <c r="AE26" s="35" t="e">
        <f t="shared" si="10"/>
        <v>#REF!</v>
      </c>
      <c r="AF26" s="35" t="e">
        <f t="shared" si="10"/>
        <v>#REF!</v>
      </c>
      <c r="AG26" s="35" t="e">
        <f t="shared" si="10"/>
        <v>#REF!</v>
      </c>
      <c r="AH26" s="35" t="e">
        <f t="shared" si="10"/>
        <v>#REF!</v>
      </c>
      <c r="AI26" s="35" t="e">
        <f t="shared" si="10"/>
        <v>#REF!</v>
      </c>
      <c r="AJ26" s="35" t="e">
        <f t="shared" si="10"/>
        <v>#REF!</v>
      </c>
      <c r="AK26" s="35" t="e">
        <f t="shared" ref="AK26:AN27" si="11">I26/AK$10</f>
        <v>#REF!</v>
      </c>
      <c r="AL26" s="35" t="e">
        <f t="shared" si="11"/>
        <v>#REF!</v>
      </c>
      <c r="AM26" s="35" t="e">
        <f t="shared" si="11"/>
        <v>#REF!</v>
      </c>
      <c r="AN26" s="208">
        <f t="shared" si="11"/>
        <v>-25.763669964126532</v>
      </c>
      <c r="AO26" s="35"/>
      <c r="AP26" s="35"/>
      <c r="AQ26" s="35"/>
      <c r="AR26" s="35"/>
      <c r="AS26" s="35"/>
      <c r="AT26" s="208"/>
      <c r="AU26" s="35">
        <f>AVERAGE(AN26:AR26)</f>
        <v>-25.763669964126532</v>
      </c>
    </row>
    <row r="27" spans="1:47" ht="15" x14ac:dyDescent="0.2">
      <c r="A27" s="40" t="s">
        <v>117</v>
      </c>
      <c r="B27" s="37">
        <f>-330+2875</f>
        <v>2545</v>
      </c>
      <c r="C27" s="29">
        <f>2395-6156-562</f>
        <v>-4323</v>
      </c>
      <c r="D27" s="29">
        <f>-340+3328+2549</f>
        <v>5537</v>
      </c>
      <c r="E27" s="29">
        <f>-377+4522-371</f>
        <v>3774</v>
      </c>
      <c r="F27" s="29">
        <f>-306-3798+5469</f>
        <v>1365</v>
      </c>
      <c r="G27" s="29">
        <f>4600-9100-400</f>
        <v>-4900</v>
      </c>
      <c r="H27" s="29">
        <f>10900+1200+0</f>
        <v>12100</v>
      </c>
      <c r="I27" s="29">
        <f>5300+6300+800</f>
        <v>12400</v>
      </c>
      <c r="J27" s="29">
        <f>500-500-4800</f>
        <v>-4800</v>
      </c>
      <c r="K27" s="29">
        <f>500-3100-8400</f>
        <v>-11000</v>
      </c>
      <c r="L27" s="29">
        <v>-17700</v>
      </c>
      <c r="M27" s="201">
        <v>-8</v>
      </c>
      <c r="N27" s="201">
        <v>6</v>
      </c>
      <c r="O27" s="201">
        <v>1.4</v>
      </c>
      <c r="P27" s="201">
        <v>-2.6</v>
      </c>
      <c r="Q27" s="201">
        <v>8.6999999999999993</v>
      </c>
      <c r="R27" s="201">
        <v>-40.6</v>
      </c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34" t="str">
        <f t="shared" si="8"/>
        <v xml:space="preserve">      Other Assets and Liabilities</v>
      </c>
      <c r="AD27" s="35" t="e">
        <f t="shared" si="10"/>
        <v>#REF!</v>
      </c>
      <c r="AE27" s="35" t="e">
        <f t="shared" si="10"/>
        <v>#REF!</v>
      </c>
      <c r="AF27" s="35" t="e">
        <f t="shared" si="10"/>
        <v>#REF!</v>
      </c>
      <c r="AG27" s="35" t="e">
        <f t="shared" si="10"/>
        <v>#REF!</v>
      </c>
      <c r="AH27" s="35" t="e">
        <f t="shared" si="10"/>
        <v>#REF!</v>
      </c>
      <c r="AI27" s="35" t="e">
        <f t="shared" si="10"/>
        <v>#REF!</v>
      </c>
      <c r="AJ27" s="35" t="e">
        <f t="shared" si="10"/>
        <v>#REF!</v>
      </c>
      <c r="AK27" s="35" t="e">
        <f t="shared" si="11"/>
        <v>#REF!</v>
      </c>
      <c r="AL27" s="35" t="e">
        <f t="shared" si="11"/>
        <v>#REF!</v>
      </c>
      <c r="AM27" s="35" t="e">
        <f t="shared" si="11"/>
        <v>#REF!</v>
      </c>
      <c r="AN27" s="208">
        <f t="shared" si="11"/>
        <v>-19.241221871942599</v>
      </c>
      <c r="AO27" s="35">
        <f>M27/AO$10</f>
        <v>-8.8603389079632295E-3</v>
      </c>
      <c r="AP27" s="35">
        <f>N27/AP$10</f>
        <v>6.193228736581337E-3</v>
      </c>
      <c r="AQ27" s="35">
        <f>O27/AQ$10</f>
        <v>1.6237531895151938E-3</v>
      </c>
      <c r="AR27" s="35">
        <f>P27/AR$10</f>
        <v>-2.637451815784135E-3</v>
      </c>
      <c r="AS27" s="35">
        <f>Q27/AS$10</f>
        <v>9.0540118638776142E-3</v>
      </c>
      <c r="AT27" s="208"/>
      <c r="AU27" s="35">
        <f>AVERAGE(AN27:AR27)</f>
        <v>-3.8489805361480491</v>
      </c>
    </row>
    <row r="28" spans="1:47" ht="15" x14ac:dyDescent="0.2">
      <c r="A28" s="128" t="s">
        <v>166</v>
      </c>
      <c r="B28" s="37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01">
        <v>-37</v>
      </c>
      <c r="N28" s="201">
        <v>17.399999999999999</v>
      </c>
      <c r="O28" s="201">
        <v>-30.8</v>
      </c>
      <c r="P28" s="201">
        <v>23</v>
      </c>
      <c r="Q28" s="201">
        <v>-52.7</v>
      </c>
      <c r="R28" s="201">
        <v>-1</v>
      </c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34" t="str">
        <f t="shared" si="8"/>
        <v xml:space="preserve">      Regulatory Assets, Liabilities &amp; Other</v>
      </c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208"/>
      <c r="AO28" s="35"/>
      <c r="AP28" s="35"/>
      <c r="AQ28" s="35"/>
      <c r="AR28" s="35"/>
      <c r="AS28" s="35"/>
      <c r="AT28" s="208"/>
      <c r="AU28" s="26"/>
    </row>
    <row r="29" spans="1:47" ht="12.75" customHeight="1" x14ac:dyDescent="0.2">
      <c r="A29" s="32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34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208"/>
      <c r="AO29" s="35"/>
      <c r="AP29" s="35"/>
      <c r="AQ29" s="35"/>
      <c r="AR29" s="35"/>
      <c r="AS29" s="35"/>
      <c r="AT29" s="208"/>
      <c r="AU29" s="88"/>
    </row>
    <row r="30" spans="1:47" ht="15" x14ac:dyDescent="0.2">
      <c r="A30" s="32" t="s">
        <v>79</v>
      </c>
      <c r="B30" s="42" t="e">
        <f t="shared" ref="B30:I30" si="12">SUM(B11:B29)</f>
        <v>#REF!</v>
      </c>
      <c r="C30" s="42" t="e">
        <f t="shared" si="12"/>
        <v>#REF!</v>
      </c>
      <c r="D30" s="42" t="e">
        <f t="shared" si="12"/>
        <v>#REF!</v>
      </c>
      <c r="E30" s="42" t="e">
        <f t="shared" si="12"/>
        <v>#REF!</v>
      </c>
      <c r="F30" s="42" t="e">
        <f t="shared" si="12"/>
        <v>#REF!</v>
      </c>
      <c r="G30" s="42" t="e">
        <f t="shared" si="12"/>
        <v>#REF!</v>
      </c>
      <c r="H30" s="42" t="e">
        <f t="shared" si="12"/>
        <v>#REF!</v>
      </c>
      <c r="I30" s="42" t="e">
        <f t="shared" si="12"/>
        <v>#REF!</v>
      </c>
      <c r="J30" s="42" t="e">
        <f t="shared" ref="J30:AB30" si="13">SUM(J11:J29)</f>
        <v>#REF!</v>
      </c>
      <c r="K30" s="42" t="e">
        <f t="shared" si="13"/>
        <v>#REF!</v>
      </c>
      <c r="L30" s="42">
        <f t="shared" si="13"/>
        <v>119300</v>
      </c>
      <c r="M30" s="202">
        <f t="shared" si="13"/>
        <v>69.30000000000004</v>
      </c>
      <c r="N30" s="202">
        <f t="shared" si="13"/>
        <v>146.90000000000003</v>
      </c>
      <c r="O30" s="202">
        <f t="shared" si="13"/>
        <v>112.69999999999989</v>
      </c>
      <c r="P30" s="202">
        <f t="shared" si="13"/>
        <v>153.29999999999998</v>
      </c>
      <c r="Q30" s="202">
        <f t="shared" si="13"/>
        <v>113.70000000000012</v>
      </c>
      <c r="R30" s="202">
        <f t="shared" si="13"/>
        <v>116.10000000000005</v>
      </c>
      <c r="S30" s="202">
        <f t="shared" si="13"/>
        <v>201.09999999999991</v>
      </c>
      <c r="T30" s="202">
        <f t="shared" si="13"/>
        <v>141.29999999999995</v>
      </c>
      <c r="U30" s="202">
        <f t="shared" ref="U30:W30" si="14">SUM(U11:U29)</f>
        <v>212.90000000000009</v>
      </c>
      <c r="V30" s="202">
        <f t="shared" si="14"/>
        <v>106.4000000000002</v>
      </c>
      <c r="W30" s="202">
        <f t="shared" si="14"/>
        <v>187.20000000000019</v>
      </c>
      <c r="X30" s="202">
        <f t="shared" ref="X30:AA30" si="15">SUM(X11:X29)</f>
        <v>157.99999999999994</v>
      </c>
      <c r="Y30" s="202">
        <f t="shared" si="15"/>
        <v>205.10000000000008</v>
      </c>
      <c r="Z30" s="202">
        <f t="shared" si="15"/>
        <v>72.200000000000216</v>
      </c>
      <c r="AA30" s="202">
        <f t="shared" si="15"/>
        <v>611.40000000000009</v>
      </c>
      <c r="AB30" s="202">
        <f t="shared" si="13"/>
        <v>211.59999999999991</v>
      </c>
      <c r="AC30" s="34" t="s">
        <v>79</v>
      </c>
      <c r="AD30" s="43" t="e">
        <f t="shared" ref="AD30:AS30" si="16">(B30/AD$10)</f>
        <v>#REF!</v>
      </c>
      <c r="AE30" s="43" t="e">
        <f t="shared" si="16"/>
        <v>#REF!</v>
      </c>
      <c r="AF30" s="43" t="e">
        <f t="shared" si="16"/>
        <v>#REF!</v>
      </c>
      <c r="AG30" s="43" t="e">
        <f t="shared" si="16"/>
        <v>#REF!</v>
      </c>
      <c r="AH30" s="43" t="e">
        <f t="shared" si="16"/>
        <v>#REF!</v>
      </c>
      <c r="AI30" s="43" t="e">
        <f t="shared" si="16"/>
        <v>#REF!</v>
      </c>
      <c r="AJ30" s="43" t="e">
        <f t="shared" si="16"/>
        <v>#REF!</v>
      </c>
      <c r="AK30" s="43" t="e">
        <f t="shared" si="16"/>
        <v>#REF!</v>
      </c>
      <c r="AL30" s="43" t="e">
        <f t="shared" si="16"/>
        <v>#REF!</v>
      </c>
      <c r="AM30" s="43" t="e">
        <f t="shared" si="16"/>
        <v>#REF!</v>
      </c>
      <c r="AN30" s="209">
        <f t="shared" si="16"/>
        <v>129.68800956625719</v>
      </c>
      <c r="AO30" s="43">
        <f t="shared" si="16"/>
        <v>7.6752685790231506E-2</v>
      </c>
      <c r="AP30" s="43">
        <f t="shared" si="16"/>
        <v>0.15163088356729978</v>
      </c>
      <c r="AQ30" s="43">
        <f t="shared" si="16"/>
        <v>0.13071213175597296</v>
      </c>
      <c r="AR30" s="43">
        <f t="shared" si="16"/>
        <v>0.1555082166768107</v>
      </c>
      <c r="AS30" s="43">
        <f t="shared" si="16"/>
        <v>0.11832656884171101</v>
      </c>
      <c r="AT30" s="208"/>
      <c r="AU30" s="35">
        <f>AVERAGE(AN30:AR30)</f>
        <v>26.040522696809507</v>
      </c>
    </row>
    <row r="31" spans="1:47" ht="12" customHeight="1" x14ac:dyDescent="0.2">
      <c r="A31" s="32"/>
      <c r="B31" s="3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34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208"/>
      <c r="AO31" s="35"/>
      <c r="AP31" s="35"/>
      <c r="AQ31" s="35"/>
      <c r="AR31" s="35"/>
      <c r="AS31" s="35"/>
      <c r="AT31" s="208"/>
      <c r="AU31" s="26"/>
    </row>
    <row r="32" spans="1:47" ht="15" x14ac:dyDescent="0.2">
      <c r="A32" s="27" t="s">
        <v>80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30" t="s">
        <v>80</v>
      </c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208"/>
      <c r="AO32" s="35"/>
      <c r="AP32" s="35"/>
      <c r="AQ32" s="35"/>
      <c r="AR32" s="35"/>
      <c r="AS32" s="35"/>
      <c r="AT32" s="208"/>
      <c r="AU32" s="26"/>
    </row>
    <row r="33" spans="1:47" ht="15" x14ac:dyDescent="0.2">
      <c r="A33" s="32" t="s">
        <v>81</v>
      </c>
      <c r="B33" s="22">
        <v>-68447</v>
      </c>
      <c r="C33" s="29">
        <v>-65767</v>
      </c>
      <c r="D33" s="29">
        <v>-78791</v>
      </c>
      <c r="E33" s="29">
        <v>-72019</v>
      </c>
      <c r="F33" s="29">
        <v>-71383</v>
      </c>
      <c r="G33" s="29">
        <v>-77000</v>
      </c>
      <c r="H33" s="29">
        <v>-67900</v>
      </c>
      <c r="I33" s="29">
        <v>-86700</v>
      </c>
      <c r="J33" s="29">
        <f>-135900</f>
        <v>-135900</v>
      </c>
      <c r="K33" s="29">
        <v>-126300</v>
      </c>
      <c r="L33" s="29">
        <f>-82600</f>
        <v>-82600</v>
      </c>
      <c r="M33" s="201">
        <v>-108.6</v>
      </c>
      <c r="N33" s="201">
        <v>-121.5</v>
      </c>
      <c r="O33" s="201">
        <v>-162.1</v>
      </c>
      <c r="P33" s="201">
        <v>-166.2</v>
      </c>
      <c r="Q33" s="201">
        <v>-174.7</v>
      </c>
      <c r="R33" s="201">
        <v>-217.4</v>
      </c>
      <c r="S33" s="201">
        <v>-240.4</v>
      </c>
      <c r="T33" s="201">
        <v>-215.4</v>
      </c>
      <c r="U33" s="201">
        <v>-218.2</v>
      </c>
      <c r="V33" s="201">
        <v>-203.9</v>
      </c>
      <c r="W33" s="201">
        <v>-306.8</v>
      </c>
      <c r="X33" s="201">
        <v>-349.3</v>
      </c>
      <c r="Y33" s="201">
        <v>-343.7</v>
      </c>
      <c r="Z33" s="201">
        <v>-329.9</v>
      </c>
      <c r="AA33" s="201">
        <v>-302.39999999999998</v>
      </c>
      <c r="AB33" s="201">
        <v>-237.7</v>
      </c>
      <c r="AC33" s="30" t="str">
        <f>A33</f>
        <v xml:space="preserve">     Capital expenditures</v>
      </c>
      <c r="AD33" s="35" t="e">
        <f t="shared" ref="AD33:AS33" si="17">(B33/AD$10)</f>
        <v>#REF!</v>
      </c>
      <c r="AE33" s="35" t="e">
        <f t="shared" si="17"/>
        <v>#REF!</v>
      </c>
      <c r="AF33" s="35" t="e">
        <f t="shared" si="17"/>
        <v>#REF!</v>
      </c>
      <c r="AG33" s="35" t="e">
        <f t="shared" si="17"/>
        <v>#REF!</v>
      </c>
      <c r="AH33" s="35" t="e">
        <f t="shared" si="17"/>
        <v>#REF!</v>
      </c>
      <c r="AI33" s="35" t="e">
        <f t="shared" si="17"/>
        <v>#REF!</v>
      </c>
      <c r="AJ33" s="35" t="e">
        <f t="shared" si="17"/>
        <v>#REF!</v>
      </c>
      <c r="AK33" s="35" t="e">
        <f t="shared" si="17"/>
        <v>#REF!</v>
      </c>
      <c r="AL33" s="35" t="e">
        <f t="shared" si="17"/>
        <v>#REF!</v>
      </c>
      <c r="AM33" s="35" t="e">
        <f t="shared" si="17"/>
        <v>#REF!</v>
      </c>
      <c r="AN33" s="208">
        <f t="shared" si="17"/>
        <v>-89.79236873573214</v>
      </c>
      <c r="AO33" s="35">
        <f t="shared" si="17"/>
        <v>-0.12027910067560083</v>
      </c>
      <c r="AP33" s="35">
        <f t="shared" si="17"/>
        <v>-0.12541288191577207</v>
      </c>
      <c r="AQ33" s="35">
        <f t="shared" si="17"/>
        <v>-0.18800742287172351</v>
      </c>
      <c r="AR33" s="35">
        <f t="shared" si="17"/>
        <v>-0.16859403530127814</v>
      </c>
      <c r="AS33" s="35">
        <f t="shared" si="17"/>
        <v>-0.18180872099073783</v>
      </c>
      <c r="AT33" s="208"/>
      <c r="AU33" s="35">
        <f>AVERAGE(AN33:AR33)</f>
        <v>-18.078932435299304</v>
      </c>
    </row>
    <row r="34" spans="1:47" ht="15" hidden="1" x14ac:dyDescent="0.2">
      <c r="A34" s="32" t="s">
        <v>239</v>
      </c>
      <c r="B34" s="22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30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208"/>
      <c r="AO34" s="35"/>
      <c r="AP34" s="35"/>
      <c r="AQ34" s="35"/>
      <c r="AR34" s="35"/>
      <c r="AS34" s="35"/>
      <c r="AT34" s="208"/>
      <c r="AU34" s="35"/>
    </row>
    <row r="35" spans="1:47" ht="15" hidden="1" x14ac:dyDescent="0.2">
      <c r="A35" s="32" t="s">
        <v>228</v>
      </c>
      <c r="B35" s="22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01"/>
      <c r="N35" s="201"/>
      <c r="O35" s="201"/>
      <c r="P35" s="201"/>
      <c r="Q35" s="201"/>
      <c r="R35" s="201">
        <v>-11.4</v>
      </c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30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208"/>
      <c r="AO35" s="35"/>
      <c r="AP35" s="35"/>
      <c r="AQ35" s="35"/>
      <c r="AR35" s="35"/>
      <c r="AS35" s="35"/>
      <c r="AT35" s="208"/>
      <c r="AU35" s="35"/>
    </row>
    <row r="36" spans="1:47" ht="15" x14ac:dyDescent="0.2">
      <c r="A36" s="32" t="s">
        <v>82</v>
      </c>
      <c r="B36" s="28">
        <v>2103</v>
      </c>
      <c r="C36" s="29">
        <v>498</v>
      </c>
      <c r="D36" s="29">
        <v>3014</v>
      </c>
      <c r="E36" s="29">
        <v>1005</v>
      </c>
      <c r="F36" s="29">
        <v>632</v>
      </c>
      <c r="G36" s="29">
        <v>-3200</v>
      </c>
      <c r="H36" s="29">
        <v>600</v>
      </c>
      <c r="I36" s="29">
        <v>600</v>
      </c>
      <c r="J36" s="29">
        <f>-2800</f>
        <v>-2800</v>
      </c>
      <c r="K36" s="29">
        <f>-3400+300</f>
        <v>-3100</v>
      </c>
      <c r="L36" s="29">
        <v>-1300</v>
      </c>
      <c r="M36" s="201">
        <v>-1</v>
      </c>
      <c r="N36" s="201">
        <v>-2</v>
      </c>
      <c r="O36" s="201">
        <v>-1.9</v>
      </c>
      <c r="P36" s="201">
        <v>-3.6</v>
      </c>
      <c r="Q36" s="201">
        <v>-2.6</v>
      </c>
      <c r="R36" s="201">
        <v>-3.5</v>
      </c>
      <c r="S36" s="201">
        <v>0.5</v>
      </c>
      <c r="T36" s="201">
        <v>-3.3</v>
      </c>
      <c r="U36" s="201">
        <v>-3.8</v>
      </c>
      <c r="V36" s="201">
        <v>-11.3</v>
      </c>
      <c r="W36" s="201">
        <v>-6.5</v>
      </c>
      <c r="X36" s="201">
        <v>-9.3000000000000007</v>
      </c>
      <c r="Y36" s="201">
        <v>-10.6</v>
      </c>
      <c r="Z36" s="201">
        <v>-9.5</v>
      </c>
      <c r="AA36" s="201">
        <v>-9.8000000000000007</v>
      </c>
      <c r="AB36" s="201"/>
      <c r="AC36" s="30" t="str">
        <f>A36</f>
        <v xml:space="preserve">     Proceeds from sales of assets</v>
      </c>
      <c r="AD36" s="35" t="e">
        <f t="shared" ref="AD36:AS36" si="18">(B36/AD$10)</f>
        <v>#REF!</v>
      </c>
      <c r="AE36" s="35" t="e">
        <f t="shared" si="18"/>
        <v>#REF!</v>
      </c>
      <c r="AF36" s="35" t="e">
        <f t="shared" si="18"/>
        <v>#REF!</v>
      </c>
      <c r="AG36" s="35" t="e">
        <f t="shared" si="18"/>
        <v>#REF!</v>
      </c>
      <c r="AH36" s="35" t="e">
        <f t="shared" si="18"/>
        <v>#REF!</v>
      </c>
      <c r="AI36" s="35" t="e">
        <f t="shared" si="18"/>
        <v>#REF!</v>
      </c>
      <c r="AJ36" s="35" t="e">
        <f t="shared" si="18"/>
        <v>#REF!</v>
      </c>
      <c r="AK36" s="35" t="e">
        <f t="shared" si="18"/>
        <v>#REF!</v>
      </c>
      <c r="AL36" s="35" t="e">
        <f t="shared" si="18"/>
        <v>#REF!</v>
      </c>
      <c r="AM36" s="35" t="e">
        <f t="shared" si="18"/>
        <v>#REF!</v>
      </c>
      <c r="AN36" s="208">
        <f t="shared" si="18"/>
        <v>-1.413197086639852</v>
      </c>
      <c r="AO36" s="35">
        <f t="shared" si="18"/>
        <v>-1.1075423634954037E-3</v>
      </c>
      <c r="AP36" s="35">
        <f t="shared" si="18"/>
        <v>-2.0644095788604458E-3</v>
      </c>
      <c r="AQ36" s="35">
        <f t="shared" si="18"/>
        <v>-2.2036650429134771E-3</v>
      </c>
      <c r="AR36" s="35">
        <f t="shared" si="18"/>
        <v>-3.6518563603164943E-3</v>
      </c>
      <c r="AS36" s="35">
        <f t="shared" si="18"/>
        <v>-2.7057966489749197E-3</v>
      </c>
      <c r="AT36" s="208"/>
      <c r="AU36" s="35">
        <f>AVERAGE(AN36:AR36)</f>
        <v>-0.2844449119970876</v>
      </c>
    </row>
    <row r="37" spans="1:47" ht="15" x14ac:dyDescent="0.2">
      <c r="A37" s="32" t="s">
        <v>83</v>
      </c>
      <c r="B37" s="28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2000</v>
      </c>
      <c r="K37" s="29">
        <v>500</v>
      </c>
      <c r="L37" s="29">
        <v>100</v>
      </c>
      <c r="M37" s="201"/>
      <c r="N37" s="201">
        <v>0.1</v>
      </c>
      <c r="O37" s="201"/>
      <c r="P37" s="201">
        <v>10.8</v>
      </c>
      <c r="Q37" s="201"/>
      <c r="R37" s="201">
        <v>-0.1</v>
      </c>
      <c r="S37" s="201">
        <v>-10.8</v>
      </c>
      <c r="T37" s="201">
        <v>-0.3</v>
      </c>
      <c r="U37" s="201"/>
      <c r="V37" s="201"/>
      <c r="W37" s="201"/>
      <c r="X37" s="201"/>
      <c r="Y37" s="201"/>
      <c r="Z37" s="201"/>
      <c r="AA37" s="201"/>
      <c r="AB37" s="201">
        <v>-2.9</v>
      </c>
      <c r="AC37" s="30" t="str">
        <f>A37</f>
        <v xml:space="preserve">     Other</v>
      </c>
      <c r="AD37" s="35" t="e">
        <f>(B37/AD$10)</f>
        <v>#REF!</v>
      </c>
      <c r="AE37" s="35" t="e">
        <f>(C37/AE$10)</f>
        <v>#REF!</v>
      </c>
      <c r="AF37" s="35" t="e">
        <f>(D37/AF$10)</f>
        <v>#REF!</v>
      </c>
      <c r="AG37" s="35" t="e">
        <f>(E37/AG$10)</f>
        <v>#REF!</v>
      </c>
      <c r="AH37" s="35" t="e">
        <f>(F37/AH$10)</f>
        <v>#REF!</v>
      </c>
      <c r="AI37" s="35"/>
      <c r="AJ37" s="35"/>
      <c r="AK37" s="35"/>
      <c r="AL37" s="35" t="e">
        <f>(J37/AL$10)</f>
        <v>#REF!</v>
      </c>
      <c r="AM37" s="35" t="e">
        <f>(K37/AM$10)</f>
        <v>#REF!</v>
      </c>
      <c r="AN37" s="208">
        <f>(L37/AN$10)</f>
        <v>0.10870746820306554</v>
      </c>
      <c r="AO37" s="35"/>
      <c r="AP37" s="35">
        <f>(N37/AP$10)</f>
        <v>1.0322047894302229E-4</v>
      </c>
      <c r="AQ37" s="35"/>
      <c r="AR37" s="35">
        <f>(P37/AR$10)</f>
        <v>1.0955569080949483E-2</v>
      </c>
      <c r="AS37" s="35"/>
      <c r="AT37" s="208"/>
      <c r="AU37" s="35">
        <f>AVERAGE(AN37:AR37)</f>
        <v>3.9922085920986013E-2</v>
      </c>
    </row>
    <row r="38" spans="1:47" ht="12.75" customHeight="1" x14ac:dyDescent="0.2">
      <c r="A38" s="32"/>
      <c r="B38" s="28"/>
      <c r="C38" s="29"/>
      <c r="D38" s="29"/>
      <c r="E38" s="29"/>
      <c r="F38" s="29"/>
      <c r="G38" s="29"/>
      <c r="H38" s="29"/>
      <c r="I38" s="29"/>
      <c r="J38" s="29"/>
      <c r="K38" s="87"/>
      <c r="L38" s="87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34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208"/>
      <c r="AO38" s="35"/>
      <c r="AP38" s="35"/>
      <c r="AQ38" s="35"/>
      <c r="AR38" s="35"/>
      <c r="AS38" s="35"/>
      <c r="AT38" s="208"/>
      <c r="AU38" s="88"/>
    </row>
    <row r="39" spans="1:47" ht="15" x14ac:dyDescent="0.2">
      <c r="A39" s="32" t="s">
        <v>84</v>
      </c>
      <c r="B39" s="42">
        <f t="shared" ref="B39:J39" si="19">SUM(B32:B38)</f>
        <v>-66344</v>
      </c>
      <c r="C39" s="42">
        <f t="shared" si="19"/>
        <v>-65269</v>
      </c>
      <c r="D39" s="42">
        <f t="shared" si="19"/>
        <v>-75777</v>
      </c>
      <c r="E39" s="42">
        <f t="shared" si="19"/>
        <v>-71014</v>
      </c>
      <c r="F39" s="42">
        <f t="shared" si="19"/>
        <v>-70751</v>
      </c>
      <c r="G39" s="42">
        <f t="shared" si="19"/>
        <v>-80200</v>
      </c>
      <c r="H39" s="42">
        <f t="shared" si="19"/>
        <v>-67300</v>
      </c>
      <c r="I39" s="42">
        <f t="shared" si="19"/>
        <v>-86100</v>
      </c>
      <c r="J39" s="42">
        <f t="shared" si="19"/>
        <v>-136700</v>
      </c>
      <c r="K39" s="28">
        <f t="shared" ref="K39:AB39" si="20">SUM(K32:K38)</f>
        <v>-128900</v>
      </c>
      <c r="L39" s="28">
        <f t="shared" si="20"/>
        <v>-83800</v>
      </c>
      <c r="M39" s="198">
        <f t="shared" si="20"/>
        <v>-109.6</v>
      </c>
      <c r="N39" s="198">
        <f t="shared" si="20"/>
        <v>-123.4</v>
      </c>
      <c r="O39" s="198">
        <f t="shared" si="20"/>
        <v>-164</v>
      </c>
      <c r="P39" s="198">
        <f t="shared" si="20"/>
        <v>-158.99999999999997</v>
      </c>
      <c r="Q39" s="198">
        <f t="shared" si="20"/>
        <v>-177.29999999999998</v>
      </c>
      <c r="R39" s="198">
        <f t="shared" si="20"/>
        <v>-232.4</v>
      </c>
      <c r="S39" s="198">
        <f t="shared" si="20"/>
        <v>-250.70000000000002</v>
      </c>
      <c r="T39" s="198">
        <f t="shared" si="20"/>
        <v>-219.00000000000003</v>
      </c>
      <c r="U39" s="198">
        <f t="shared" ref="U39:V39" si="21">SUM(U32:U38)</f>
        <v>-222</v>
      </c>
      <c r="V39" s="198">
        <f t="shared" si="21"/>
        <v>-215.20000000000002</v>
      </c>
      <c r="W39" s="198">
        <f t="shared" ref="W39:AA39" si="22">SUM(W32:W38)</f>
        <v>-313.3</v>
      </c>
      <c r="X39" s="198">
        <f t="shared" si="22"/>
        <v>-358.6</v>
      </c>
      <c r="Y39" s="198">
        <f t="shared" si="22"/>
        <v>-354.3</v>
      </c>
      <c r="Z39" s="198">
        <f t="shared" si="22"/>
        <v>-339.4</v>
      </c>
      <c r="AA39" s="198">
        <f t="shared" si="22"/>
        <v>-312.2</v>
      </c>
      <c r="AB39" s="198">
        <f t="shared" si="20"/>
        <v>-240.6</v>
      </c>
      <c r="AC39" s="34" t="s">
        <v>84</v>
      </c>
      <c r="AD39" s="43" t="e">
        <f t="shared" ref="AD39:AS39" si="23">B39/AD$10</f>
        <v>#REF!</v>
      </c>
      <c r="AE39" s="43" t="e">
        <f t="shared" si="23"/>
        <v>#REF!</v>
      </c>
      <c r="AF39" s="43" t="e">
        <f t="shared" si="23"/>
        <v>#REF!</v>
      </c>
      <c r="AG39" s="43" t="e">
        <f t="shared" si="23"/>
        <v>#REF!</v>
      </c>
      <c r="AH39" s="43" t="e">
        <f t="shared" si="23"/>
        <v>#REF!</v>
      </c>
      <c r="AI39" s="43" t="e">
        <f t="shared" si="23"/>
        <v>#REF!</v>
      </c>
      <c r="AJ39" s="43" t="e">
        <f t="shared" si="23"/>
        <v>#REF!</v>
      </c>
      <c r="AK39" s="43" t="e">
        <f t="shared" si="23"/>
        <v>#REF!</v>
      </c>
      <c r="AL39" s="43" t="e">
        <f t="shared" si="23"/>
        <v>#REF!</v>
      </c>
      <c r="AM39" s="43" t="e">
        <f t="shared" si="23"/>
        <v>#REF!</v>
      </c>
      <c r="AN39" s="209">
        <f t="shared" si="23"/>
        <v>-91.096858354168916</v>
      </c>
      <c r="AO39" s="43">
        <f t="shared" si="23"/>
        <v>-0.12138664303909623</v>
      </c>
      <c r="AP39" s="43">
        <f t="shared" si="23"/>
        <v>-0.12737407101568951</v>
      </c>
      <c r="AQ39" s="43">
        <f t="shared" si="23"/>
        <v>-0.19021108791463698</v>
      </c>
      <c r="AR39" s="43">
        <f t="shared" si="23"/>
        <v>-0.16129032258064513</v>
      </c>
      <c r="AS39" s="43">
        <f t="shared" si="23"/>
        <v>-0.18451451763971274</v>
      </c>
      <c r="AT39" s="208"/>
      <c r="AU39" s="35">
        <f>AVERAGE(AN39:AR39)</f>
        <v>-18.339424095743798</v>
      </c>
    </row>
    <row r="40" spans="1:47" ht="13.5" customHeight="1" x14ac:dyDescent="0.2">
      <c r="A40" s="32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34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208"/>
      <c r="AO40" s="35"/>
      <c r="AP40" s="35"/>
      <c r="AQ40" s="35"/>
      <c r="AR40" s="35"/>
      <c r="AS40" s="35"/>
      <c r="AT40" s="208"/>
      <c r="AU40" s="26"/>
    </row>
    <row r="41" spans="1:47" ht="15" x14ac:dyDescent="0.2">
      <c r="A41" s="27" t="s">
        <v>85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30" t="s">
        <v>85</v>
      </c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208"/>
      <c r="AO41" s="35"/>
      <c r="AP41" s="35"/>
      <c r="AQ41" s="35"/>
      <c r="AR41" s="35"/>
      <c r="AS41" s="35"/>
      <c r="AT41" s="208"/>
      <c r="AU41" s="26"/>
    </row>
    <row r="42" spans="1:47" ht="15" x14ac:dyDescent="0.2">
      <c r="A42" s="40" t="s">
        <v>105</v>
      </c>
      <c r="B42" s="28">
        <v>40000</v>
      </c>
      <c r="C42" s="29"/>
      <c r="D42" s="29">
        <v>40000</v>
      </c>
      <c r="E42" s="29"/>
      <c r="F42" s="29"/>
      <c r="G42" s="29"/>
      <c r="H42" s="29"/>
      <c r="I42" s="29"/>
      <c r="J42" s="29"/>
      <c r="K42" s="29">
        <v>30000</v>
      </c>
      <c r="L42" s="29"/>
      <c r="M42" s="201"/>
      <c r="N42" s="201">
        <v>20</v>
      </c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30" t="str">
        <f>A42</f>
        <v xml:space="preserve">     Issuance of Common Stock</v>
      </c>
      <c r="AD42" s="35" t="e">
        <f>B42/AD$10</f>
        <v>#REF!</v>
      </c>
      <c r="AE42" s="35" t="e">
        <f>C42/AE$10</f>
        <v>#REF!</v>
      </c>
      <c r="AF42" s="35" t="e">
        <f>D42/AF$10</f>
        <v>#REF!</v>
      </c>
      <c r="AG42" s="35" t="e">
        <f>E42/AG$10</f>
        <v>#REF!</v>
      </c>
      <c r="AH42" s="35" t="e">
        <f>F42/AH$10</f>
        <v>#REF!</v>
      </c>
      <c r="AI42" s="35"/>
      <c r="AJ42" s="35"/>
      <c r="AK42" s="35"/>
      <c r="AL42" s="35"/>
      <c r="AM42" s="35" t="e">
        <f>K42/AM$10</f>
        <v>#REF!</v>
      </c>
      <c r="AN42" s="208"/>
      <c r="AO42" s="35"/>
      <c r="AP42" s="35">
        <f>N42/AP$10</f>
        <v>2.0644095788604457E-2</v>
      </c>
      <c r="AQ42" s="35"/>
      <c r="AR42" s="35"/>
      <c r="AS42" s="35"/>
      <c r="AT42" s="208"/>
      <c r="AU42" s="35">
        <f t="shared" ref="AU42:AU52" si="24">AVERAGE(AN42:AR42)</f>
        <v>2.0644095788604457E-2</v>
      </c>
    </row>
    <row r="43" spans="1:47" ht="15" x14ac:dyDescent="0.2">
      <c r="A43" s="40" t="s">
        <v>279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>
        <v>124.5</v>
      </c>
      <c r="AA43" s="201">
        <v>-124.5</v>
      </c>
      <c r="AB43" s="201">
        <v>21</v>
      </c>
      <c r="AC43" s="30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208"/>
      <c r="AO43" s="35"/>
      <c r="AP43" s="35"/>
      <c r="AQ43" s="35"/>
      <c r="AR43" s="35"/>
      <c r="AS43" s="35"/>
      <c r="AT43" s="208"/>
      <c r="AU43" s="35"/>
    </row>
    <row r="44" spans="1:47" ht="15" x14ac:dyDescent="0.2">
      <c r="A44" s="40" t="s">
        <v>285</v>
      </c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>
        <v>200</v>
      </c>
      <c r="AB44" s="201"/>
      <c r="AC44" s="30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208"/>
      <c r="AO44" s="35"/>
      <c r="AP44" s="35"/>
      <c r="AQ44" s="35"/>
      <c r="AR44" s="35"/>
      <c r="AS44" s="35"/>
      <c r="AT44" s="208"/>
      <c r="AU44" s="35"/>
    </row>
    <row r="45" spans="1:47" ht="15" x14ac:dyDescent="0.2">
      <c r="A45" s="40" t="s">
        <v>284</v>
      </c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>
        <v>-282.39999999999998</v>
      </c>
      <c r="AB45" s="201"/>
      <c r="AC45" s="30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208"/>
      <c r="AO45" s="35"/>
      <c r="AP45" s="35"/>
      <c r="AQ45" s="35"/>
      <c r="AR45" s="35"/>
      <c r="AS45" s="35"/>
      <c r="AT45" s="208"/>
      <c r="AU45" s="35"/>
    </row>
    <row r="46" spans="1:47" ht="15" x14ac:dyDescent="0.2">
      <c r="A46" s="40" t="s">
        <v>102</v>
      </c>
      <c r="B46" s="28"/>
      <c r="C46" s="29"/>
      <c r="D46" s="29">
        <v>60000</v>
      </c>
      <c r="E46" s="29"/>
      <c r="F46" s="29">
        <v>110000</v>
      </c>
      <c r="G46" s="29"/>
      <c r="H46" s="29">
        <v>50000</v>
      </c>
      <c r="I46" s="29"/>
      <c r="J46" s="29"/>
      <c r="K46" s="29">
        <v>148400</v>
      </c>
      <c r="L46" s="29"/>
      <c r="M46" s="201"/>
      <c r="N46" s="201"/>
      <c r="O46" s="201">
        <v>148.80000000000001</v>
      </c>
      <c r="P46" s="201">
        <v>149</v>
      </c>
      <c r="Q46" s="201"/>
      <c r="R46" s="201"/>
      <c r="S46" s="201">
        <v>100</v>
      </c>
      <c r="T46" s="201">
        <v>100</v>
      </c>
      <c r="U46" s="201">
        <v>150</v>
      </c>
      <c r="V46" s="201"/>
      <c r="W46" s="201"/>
      <c r="X46" s="201">
        <v>250</v>
      </c>
      <c r="Y46" s="201">
        <v>250</v>
      </c>
      <c r="Z46" s="201"/>
      <c r="AA46" s="201"/>
      <c r="AB46" s="201"/>
      <c r="AC46" s="34" t="str">
        <f>A46</f>
        <v xml:space="preserve">     Proceeds from long-term debt</v>
      </c>
      <c r="AD46" s="35" t="e">
        <f t="shared" ref="AD46:AH47" si="25">B46/AD$10</f>
        <v>#REF!</v>
      </c>
      <c r="AE46" s="35" t="e">
        <f t="shared" si="25"/>
        <v>#REF!</v>
      </c>
      <c r="AF46" s="35" t="e">
        <f t="shared" si="25"/>
        <v>#REF!</v>
      </c>
      <c r="AG46" s="35" t="e">
        <f t="shared" si="25"/>
        <v>#REF!</v>
      </c>
      <c r="AH46" s="35" t="e">
        <f t="shared" si="25"/>
        <v>#REF!</v>
      </c>
      <c r="AI46" s="35"/>
      <c r="AJ46" s="35" t="e">
        <f>H46/AJ$10</f>
        <v>#REF!</v>
      </c>
      <c r="AK46" s="35"/>
      <c r="AL46" s="35"/>
      <c r="AM46" s="35" t="e">
        <f>K46/AM$10</f>
        <v>#REF!</v>
      </c>
      <c r="AN46" s="208"/>
      <c r="AO46" s="35"/>
      <c r="AP46" s="35"/>
      <c r="AQ46" s="35"/>
      <c r="AR46" s="35"/>
      <c r="AS46" s="35"/>
      <c r="AT46" s="208"/>
      <c r="AU46" s="35"/>
    </row>
    <row r="47" spans="1:47" ht="15" x14ac:dyDescent="0.2">
      <c r="A47" s="40" t="s">
        <v>103</v>
      </c>
      <c r="B47" s="28"/>
      <c r="C47" s="29"/>
      <c r="D47" s="29"/>
      <c r="E47" s="29"/>
      <c r="F47" s="29">
        <v>-105000</v>
      </c>
      <c r="G47" s="29">
        <v>-17000</v>
      </c>
      <c r="H47" s="29"/>
      <c r="I47" s="29"/>
      <c r="J47" s="29">
        <v>-10000</v>
      </c>
      <c r="K47" s="29">
        <v>-93000</v>
      </c>
      <c r="L47" s="29"/>
      <c r="M47" s="201"/>
      <c r="N47" s="201">
        <v>-2</v>
      </c>
      <c r="O47" s="201">
        <v>-91.5</v>
      </c>
      <c r="P47" s="201">
        <v>-42</v>
      </c>
      <c r="Q47" s="201"/>
      <c r="R47" s="201"/>
      <c r="S47" s="201"/>
      <c r="T47" s="201">
        <v>-14.5</v>
      </c>
      <c r="U47" s="201">
        <v>-120</v>
      </c>
      <c r="V47" s="201"/>
      <c r="W47" s="201"/>
      <c r="X47" s="201"/>
      <c r="Y47" s="201"/>
      <c r="Z47" s="201"/>
      <c r="AA47" s="201">
        <v>-40</v>
      </c>
      <c r="AB47" s="201"/>
      <c r="AC47" s="34" t="str">
        <f>A47</f>
        <v xml:space="preserve">     Long-term debt repaid</v>
      </c>
      <c r="AD47" s="35" t="e">
        <f t="shared" si="25"/>
        <v>#REF!</v>
      </c>
      <c r="AE47" s="35" t="e">
        <f t="shared" si="25"/>
        <v>#REF!</v>
      </c>
      <c r="AF47" s="35" t="e">
        <f t="shared" si="25"/>
        <v>#REF!</v>
      </c>
      <c r="AG47" s="35" t="e">
        <f t="shared" si="25"/>
        <v>#REF!</v>
      </c>
      <c r="AH47" s="35" t="e">
        <f t="shared" si="25"/>
        <v>#REF!</v>
      </c>
      <c r="AI47" s="35" t="e">
        <f>G47/AI$10</f>
        <v>#REF!</v>
      </c>
      <c r="AJ47" s="35"/>
      <c r="AK47" s="35"/>
      <c r="AL47" s="35" t="e">
        <f>J47/AL$10</f>
        <v>#REF!</v>
      </c>
      <c r="AM47" s="35" t="e">
        <f>K47/AM$10</f>
        <v>#REF!</v>
      </c>
      <c r="AN47" s="208"/>
      <c r="AO47" s="35"/>
      <c r="AP47" s="35">
        <f>N47/AP$10</f>
        <v>-2.0644095788604458E-3</v>
      </c>
      <c r="AQ47" s="35">
        <f>O47/AQ$10</f>
        <v>-0.10612386917188588</v>
      </c>
      <c r="AR47" s="35">
        <f>P47/AR$10</f>
        <v>-4.26049908703591E-2</v>
      </c>
      <c r="AS47" s="35">
        <f>Q47/AS$10</f>
        <v>0</v>
      </c>
      <c r="AT47" s="208"/>
      <c r="AU47" s="35">
        <f t="shared" si="24"/>
        <v>-5.0264423207035142E-2</v>
      </c>
    </row>
    <row r="48" spans="1:47" ht="15" hidden="1" x14ac:dyDescent="0.2">
      <c r="A48" s="128" t="s">
        <v>236</v>
      </c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32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208"/>
      <c r="AO48" s="35"/>
      <c r="AP48" s="35"/>
      <c r="AQ48" s="35"/>
      <c r="AR48" s="35"/>
      <c r="AS48" s="35"/>
      <c r="AT48" s="208"/>
      <c r="AU48" s="35"/>
    </row>
    <row r="49" spans="1:47" ht="15" x14ac:dyDescent="0.2">
      <c r="A49" s="128" t="s">
        <v>247</v>
      </c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01"/>
      <c r="N49" s="201"/>
      <c r="O49" s="201"/>
      <c r="P49" s="201"/>
      <c r="Q49" s="201"/>
      <c r="R49" s="201"/>
      <c r="S49" s="201">
        <v>200</v>
      </c>
      <c r="T49" s="201">
        <v>-35</v>
      </c>
      <c r="U49" s="201">
        <v>-165</v>
      </c>
      <c r="V49" s="201"/>
      <c r="W49" s="201"/>
      <c r="X49" s="201"/>
      <c r="Y49" s="201"/>
      <c r="Z49" s="201"/>
      <c r="AA49" s="201"/>
      <c r="AB49" s="201"/>
      <c r="AC49" s="32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208"/>
      <c r="AO49" s="35"/>
      <c r="AP49" s="35"/>
      <c r="AQ49" s="35"/>
      <c r="AR49" s="35"/>
      <c r="AS49" s="35"/>
      <c r="AT49" s="208"/>
      <c r="AU49" s="35"/>
    </row>
    <row r="50" spans="1:47" ht="15" x14ac:dyDescent="0.2">
      <c r="A50" s="40" t="s">
        <v>240</v>
      </c>
      <c r="B50" s="28">
        <v>-17400</v>
      </c>
      <c r="C50" s="29">
        <v>26300</v>
      </c>
      <c r="D50" s="29">
        <v>-39000</v>
      </c>
      <c r="E50" s="29">
        <v>-30200</v>
      </c>
      <c r="F50" s="29">
        <v>15500</v>
      </c>
      <c r="G50" s="29">
        <v>43300</v>
      </c>
      <c r="H50" s="29">
        <v>-17800</v>
      </c>
      <c r="I50" s="29">
        <v>-64200</v>
      </c>
      <c r="J50" s="29">
        <v>59700</v>
      </c>
      <c r="K50" s="29">
        <v>15400</v>
      </c>
      <c r="L50" s="29">
        <v>-1300</v>
      </c>
      <c r="M50" s="201">
        <v>66.599999999999994</v>
      </c>
      <c r="N50" s="201">
        <v>-10.9</v>
      </c>
      <c r="O50" s="201">
        <v>23.4</v>
      </c>
      <c r="P50" s="201">
        <v>-58.4</v>
      </c>
      <c r="Q50" s="201">
        <v>101.6</v>
      </c>
      <c r="R50" s="201">
        <v>154</v>
      </c>
      <c r="S50" s="201">
        <v>-225.3</v>
      </c>
      <c r="T50" s="201">
        <v>27</v>
      </c>
      <c r="U50" s="201">
        <v>-54.5</v>
      </c>
      <c r="V50" s="201">
        <v>111.3</v>
      </c>
      <c r="W50" s="201">
        <v>124.5</v>
      </c>
      <c r="X50" s="201">
        <v>48</v>
      </c>
      <c r="Y50" s="201">
        <v>-187.8</v>
      </c>
      <c r="Z50" s="201">
        <v>165.9</v>
      </c>
      <c r="AA50" s="201"/>
      <c r="AB50" s="201"/>
      <c r="AC50" s="34" t="str">
        <f>A50</f>
        <v xml:space="preserve">     Change in note payable to Dominion Questar</v>
      </c>
      <c r="AD50" s="35" t="e">
        <f t="shared" ref="AD50:AS50" si="26">B50/AD$10</f>
        <v>#REF!</v>
      </c>
      <c r="AE50" s="35" t="e">
        <f t="shared" si="26"/>
        <v>#REF!</v>
      </c>
      <c r="AF50" s="35" t="e">
        <f t="shared" si="26"/>
        <v>#REF!</v>
      </c>
      <c r="AG50" s="35" t="e">
        <f t="shared" si="26"/>
        <v>#REF!</v>
      </c>
      <c r="AH50" s="35" t="e">
        <f t="shared" si="26"/>
        <v>#REF!</v>
      </c>
      <c r="AI50" s="35" t="e">
        <f t="shared" si="26"/>
        <v>#REF!</v>
      </c>
      <c r="AJ50" s="35" t="e">
        <f t="shared" si="26"/>
        <v>#REF!</v>
      </c>
      <c r="AK50" s="35" t="e">
        <f t="shared" si="26"/>
        <v>#REF!</v>
      </c>
      <c r="AL50" s="35" t="e">
        <f t="shared" si="26"/>
        <v>#REF!</v>
      </c>
      <c r="AM50" s="35" t="e">
        <f t="shared" si="26"/>
        <v>#REF!</v>
      </c>
      <c r="AN50" s="208">
        <f t="shared" si="26"/>
        <v>-1.413197086639852</v>
      </c>
      <c r="AO50" s="35">
        <f t="shared" si="26"/>
        <v>7.3762321408793879E-2</v>
      </c>
      <c r="AP50" s="35">
        <f t="shared" si="26"/>
        <v>-1.125103220478943E-2</v>
      </c>
      <c r="AQ50" s="35">
        <f t="shared" si="26"/>
        <v>2.7139874739039668E-2</v>
      </c>
      <c r="AR50" s="35">
        <f t="shared" si="26"/>
        <v>-5.9241225400689795E-2</v>
      </c>
      <c r="AS50" s="35">
        <f t="shared" si="26"/>
        <v>0.10573420751378915</v>
      </c>
      <c r="AT50" s="208"/>
      <c r="AU50" s="35">
        <f t="shared" si="24"/>
        <v>-0.27655742961949953</v>
      </c>
    </row>
    <row r="51" spans="1:47" ht="15" x14ac:dyDescent="0.2">
      <c r="A51" s="40" t="s">
        <v>248</v>
      </c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01"/>
      <c r="N51" s="201"/>
      <c r="O51" s="201"/>
      <c r="P51" s="201"/>
      <c r="Q51" s="201"/>
      <c r="R51" s="201"/>
      <c r="S51" s="201">
        <v>2.7</v>
      </c>
      <c r="T51" s="201"/>
      <c r="U51" s="199">
        <v>200</v>
      </c>
      <c r="V51" s="199"/>
      <c r="W51" s="199"/>
      <c r="X51" s="199"/>
      <c r="Y51" s="199"/>
      <c r="Z51" s="199"/>
      <c r="AA51" s="199">
        <v>53.5</v>
      </c>
      <c r="AB51" s="201"/>
      <c r="AC51" s="34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208"/>
      <c r="AO51" s="35"/>
      <c r="AP51" s="35"/>
      <c r="AQ51" s="35"/>
      <c r="AR51" s="35"/>
      <c r="AS51" s="35"/>
      <c r="AT51" s="208"/>
      <c r="AU51" s="35"/>
    </row>
    <row r="52" spans="1:47" ht="12.75" customHeight="1" x14ac:dyDescent="0.2">
      <c r="A52" s="32" t="s">
        <v>86</v>
      </c>
      <c r="B52" s="37">
        <v>-23000</v>
      </c>
      <c r="C52" s="29">
        <v>-23500</v>
      </c>
      <c r="D52" s="29">
        <v>-24000</v>
      </c>
      <c r="E52" s="29">
        <v>-24500</v>
      </c>
      <c r="F52" s="29">
        <v>-25000</v>
      </c>
      <c r="G52" s="29">
        <v>-25500</v>
      </c>
      <c r="H52" s="29">
        <v>-26000</v>
      </c>
      <c r="I52" s="29">
        <v>-26500</v>
      </c>
      <c r="J52" s="29">
        <v>-27000</v>
      </c>
      <c r="K52" s="29">
        <v>-27500</v>
      </c>
      <c r="L52" s="29">
        <v>-28200</v>
      </c>
      <c r="M52" s="201">
        <v>-28.8</v>
      </c>
      <c r="N52" s="201">
        <v>-30.3</v>
      </c>
      <c r="O52" s="201">
        <v>-33</v>
      </c>
      <c r="P52" s="201">
        <v>-35.5</v>
      </c>
      <c r="Q52" s="201">
        <v>-27</v>
      </c>
      <c r="R52" s="201">
        <v>-47</v>
      </c>
      <c r="S52" s="201">
        <v>-30</v>
      </c>
      <c r="T52" s="201"/>
      <c r="U52" s="201"/>
      <c r="V52" s="201"/>
      <c r="W52" s="201"/>
      <c r="X52" s="201">
        <v>-100</v>
      </c>
      <c r="Y52" s="201"/>
      <c r="Z52" s="201">
        <v>-20</v>
      </c>
      <c r="AA52" s="201">
        <v>-5</v>
      </c>
      <c r="AB52" s="201">
        <v>-100</v>
      </c>
      <c r="AC52" s="34" t="str">
        <f>A52</f>
        <v xml:space="preserve">     Dividends paid</v>
      </c>
      <c r="AD52" s="35" t="e">
        <f t="shared" ref="AD52:AS52" si="27">B52/AD$10</f>
        <v>#REF!</v>
      </c>
      <c r="AE52" s="35" t="e">
        <f t="shared" si="27"/>
        <v>#REF!</v>
      </c>
      <c r="AF52" s="35" t="e">
        <f t="shared" si="27"/>
        <v>#REF!</v>
      </c>
      <c r="AG52" s="35" t="e">
        <f t="shared" si="27"/>
        <v>#REF!</v>
      </c>
      <c r="AH52" s="35" t="e">
        <f t="shared" si="27"/>
        <v>#REF!</v>
      </c>
      <c r="AI52" s="35" t="e">
        <f t="shared" si="27"/>
        <v>#REF!</v>
      </c>
      <c r="AJ52" s="35" t="e">
        <f t="shared" si="27"/>
        <v>#REF!</v>
      </c>
      <c r="AK52" s="35" t="e">
        <f t="shared" si="27"/>
        <v>#REF!</v>
      </c>
      <c r="AL52" s="35" t="e">
        <f t="shared" si="27"/>
        <v>#REF!</v>
      </c>
      <c r="AM52" s="35" t="e">
        <f t="shared" si="27"/>
        <v>#REF!</v>
      </c>
      <c r="AN52" s="208">
        <f t="shared" si="27"/>
        <v>-30.655506033264484</v>
      </c>
      <c r="AO52" s="35">
        <f t="shared" si="27"/>
        <v>-3.1897220068667624E-2</v>
      </c>
      <c r="AP52" s="35">
        <f t="shared" si="27"/>
        <v>-3.1275805119735753E-2</v>
      </c>
      <c r="AQ52" s="35">
        <f t="shared" si="27"/>
        <v>-3.8274182324286712E-2</v>
      </c>
      <c r="AR52" s="35">
        <f t="shared" si="27"/>
        <v>-3.6011361330898765E-2</v>
      </c>
      <c r="AS52" s="35">
        <f t="shared" si="27"/>
        <v>-2.80986575085857E-2</v>
      </c>
      <c r="AT52" s="208"/>
      <c r="AU52" s="35">
        <f t="shared" si="24"/>
        <v>-6.158592920421615</v>
      </c>
    </row>
    <row r="53" spans="1:47" ht="12.75" customHeight="1" x14ac:dyDescent="0.2">
      <c r="A53" s="32" t="s">
        <v>280</v>
      </c>
      <c r="B53" s="37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>
        <v>100</v>
      </c>
      <c r="Z53" s="201"/>
      <c r="AA53" s="201"/>
      <c r="AB53" s="201"/>
      <c r="AC53" s="34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208"/>
      <c r="AO53" s="35"/>
      <c r="AP53" s="35"/>
      <c r="AQ53" s="35"/>
      <c r="AR53" s="35"/>
      <c r="AS53" s="35"/>
      <c r="AT53" s="208"/>
      <c r="AU53" s="35"/>
    </row>
    <row r="54" spans="1:47" ht="12.75" customHeight="1" x14ac:dyDescent="0.2">
      <c r="A54" s="32" t="s">
        <v>83</v>
      </c>
      <c r="B54" s="28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/>
      <c r="J54" s="29"/>
      <c r="K54" s="29"/>
      <c r="L54" s="29"/>
      <c r="M54" s="201"/>
      <c r="N54" s="201"/>
      <c r="O54" s="201"/>
      <c r="P54" s="201"/>
      <c r="Q54" s="201"/>
      <c r="R54" s="201"/>
      <c r="S54" s="201">
        <v>-0.7</v>
      </c>
      <c r="T54" s="201">
        <v>-0.7</v>
      </c>
      <c r="U54" s="201">
        <v>-1.5</v>
      </c>
      <c r="V54" s="201"/>
      <c r="W54" s="201"/>
      <c r="X54" s="201">
        <v>-0.7</v>
      </c>
      <c r="Y54" s="201">
        <v>-1.3</v>
      </c>
      <c r="Z54" s="201"/>
      <c r="AA54" s="201">
        <v>-0.7</v>
      </c>
      <c r="AB54" s="201"/>
      <c r="AC54" s="34" t="str">
        <f>A54</f>
        <v xml:space="preserve">     Other</v>
      </c>
      <c r="AD54" s="35" t="e">
        <f>B54/AD$10</f>
        <v>#REF!</v>
      </c>
      <c r="AE54" s="35" t="e">
        <f>C54/AE$10</f>
        <v>#REF!</v>
      </c>
      <c r="AF54" s="35" t="e">
        <f>D54/AF$10</f>
        <v>#REF!</v>
      </c>
      <c r="AG54" s="35" t="e">
        <f>E54/AG$10</f>
        <v>#REF!</v>
      </c>
      <c r="AH54" s="35" t="e">
        <f>F54/AH$10</f>
        <v>#REF!</v>
      </c>
      <c r="AI54" s="35"/>
      <c r="AJ54" s="35"/>
      <c r="AK54" s="35"/>
      <c r="AL54" s="35"/>
      <c r="AM54" s="35"/>
      <c r="AN54" s="208"/>
      <c r="AO54" s="35"/>
      <c r="AP54" s="35"/>
      <c r="AQ54" s="35">
        <f>O54/AQ$10</f>
        <v>0</v>
      </c>
      <c r="AR54" s="35">
        <f>P54/AR$10</f>
        <v>0</v>
      </c>
      <c r="AS54" s="35">
        <f>Q54/AS$10</f>
        <v>0</v>
      </c>
      <c r="AT54" s="208"/>
      <c r="AU54" s="26"/>
    </row>
    <row r="55" spans="1:47" ht="12.75" customHeight="1" x14ac:dyDescent="0.2">
      <c r="A55" s="32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34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208"/>
      <c r="AO55" s="35"/>
      <c r="AP55" s="35"/>
      <c r="AQ55" s="35"/>
      <c r="AR55" s="35"/>
      <c r="AS55" s="35"/>
      <c r="AT55" s="208"/>
      <c r="AU55" s="88"/>
    </row>
    <row r="56" spans="1:47" ht="12.75" customHeight="1" x14ac:dyDescent="0.2">
      <c r="A56" s="32" t="s">
        <v>87</v>
      </c>
      <c r="B56" s="44">
        <f t="shared" ref="B56:AB56" si="28">SUM(B41:B55)</f>
        <v>-400</v>
      </c>
      <c r="C56" s="44">
        <f t="shared" si="28"/>
        <v>2800</v>
      </c>
      <c r="D56" s="44">
        <f t="shared" si="28"/>
        <v>37000</v>
      </c>
      <c r="E56" s="44">
        <f t="shared" si="28"/>
        <v>-54700</v>
      </c>
      <c r="F56" s="44">
        <f t="shared" si="28"/>
        <v>-4500</v>
      </c>
      <c r="G56" s="44">
        <f t="shared" si="28"/>
        <v>800</v>
      </c>
      <c r="H56" s="44">
        <f t="shared" si="28"/>
        <v>6200</v>
      </c>
      <c r="I56" s="44">
        <f t="shared" si="28"/>
        <v>-90700</v>
      </c>
      <c r="J56" s="44">
        <f t="shared" si="28"/>
        <v>22700</v>
      </c>
      <c r="K56" s="44">
        <f t="shared" si="28"/>
        <v>73300</v>
      </c>
      <c r="L56" s="44">
        <f t="shared" si="28"/>
        <v>-29500</v>
      </c>
      <c r="M56" s="204">
        <f t="shared" si="28"/>
        <v>37.799999999999997</v>
      </c>
      <c r="N56" s="204">
        <f t="shared" si="28"/>
        <v>-23.200000000000003</v>
      </c>
      <c r="O56" s="204">
        <f t="shared" si="28"/>
        <v>47.700000000000017</v>
      </c>
      <c r="P56" s="204">
        <f t="shared" si="28"/>
        <v>13.100000000000001</v>
      </c>
      <c r="Q56" s="204">
        <f t="shared" si="28"/>
        <v>74.599999999999994</v>
      </c>
      <c r="R56" s="204">
        <f t="shared" si="28"/>
        <v>107</v>
      </c>
      <c r="S56" s="204">
        <f t="shared" si="28"/>
        <v>46.699999999999989</v>
      </c>
      <c r="T56" s="204">
        <f t="shared" si="28"/>
        <v>76.8</v>
      </c>
      <c r="U56" s="204">
        <f t="shared" si="28"/>
        <v>9</v>
      </c>
      <c r="V56" s="204">
        <f t="shared" si="28"/>
        <v>111.3</v>
      </c>
      <c r="W56" s="204">
        <f t="shared" si="28"/>
        <v>124.5</v>
      </c>
      <c r="X56" s="204">
        <f t="shared" si="28"/>
        <v>197.3</v>
      </c>
      <c r="Y56" s="204">
        <f t="shared" si="28"/>
        <v>160.89999999999998</v>
      </c>
      <c r="Z56" s="204">
        <f t="shared" si="28"/>
        <v>270.39999999999998</v>
      </c>
      <c r="AA56" s="204">
        <f t="shared" ref="AA56" si="29">SUM(AA41:AA55)</f>
        <v>-199.09999999999997</v>
      </c>
      <c r="AB56" s="204">
        <f t="shared" si="28"/>
        <v>-79</v>
      </c>
      <c r="AC56" s="34" t="s">
        <v>87</v>
      </c>
      <c r="AD56" s="43" t="e">
        <f t="shared" ref="AD56:AS56" si="30">B56/AD$10</f>
        <v>#REF!</v>
      </c>
      <c r="AE56" s="43" t="e">
        <f t="shared" si="30"/>
        <v>#REF!</v>
      </c>
      <c r="AF56" s="43" t="e">
        <f t="shared" si="30"/>
        <v>#REF!</v>
      </c>
      <c r="AG56" s="43" t="e">
        <f t="shared" si="30"/>
        <v>#REF!</v>
      </c>
      <c r="AH56" s="43" t="e">
        <f t="shared" si="30"/>
        <v>#REF!</v>
      </c>
      <c r="AI56" s="43" t="e">
        <f t="shared" si="30"/>
        <v>#REF!</v>
      </c>
      <c r="AJ56" s="43" t="e">
        <f t="shared" si="30"/>
        <v>#REF!</v>
      </c>
      <c r="AK56" s="43" t="e">
        <f t="shared" si="30"/>
        <v>#REF!</v>
      </c>
      <c r="AL56" s="43" t="e">
        <f t="shared" si="30"/>
        <v>#REF!</v>
      </c>
      <c r="AM56" s="43" t="e">
        <f t="shared" si="30"/>
        <v>#REF!</v>
      </c>
      <c r="AN56" s="209">
        <f t="shared" si="30"/>
        <v>-32.068703119904335</v>
      </c>
      <c r="AO56" s="43">
        <f t="shared" si="30"/>
        <v>4.1865101340126255E-2</v>
      </c>
      <c r="AP56" s="43">
        <f t="shared" si="30"/>
        <v>-2.3947151114781174E-2</v>
      </c>
      <c r="AQ56" s="43">
        <f t="shared" si="30"/>
        <v>5.5323590814196265E-2</v>
      </c>
      <c r="AR56" s="43">
        <f t="shared" si="30"/>
        <v>1.3288699533373912E-2</v>
      </c>
      <c r="AS56" s="43">
        <f t="shared" si="30"/>
        <v>7.7635550005203446E-2</v>
      </c>
      <c r="AT56" s="208"/>
      <c r="AU56" s="35">
        <f>AVERAGE(AN56:AR56)</f>
        <v>-6.3964345758662837</v>
      </c>
    </row>
    <row r="57" spans="1:47" ht="12.75" customHeight="1" x14ac:dyDescent="0.2">
      <c r="A57" s="32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34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208"/>
      <c r="AO57" s="35"/>
      <c r="AP57" s="35"/>
      <c r="AQ57" s="35"/>
      <c r="AR57" s="35"/>
      <c r="AS57" s="35"/>
      <c r="AT57" s="208"/>
      <c r="AU57" s="88"/>
    </row>
    <row r="58" spans="1:47" ht="12.75" customHeight="1" x14ac:dyDescent="0.2">
      <c r="A58" s="32" t="s">
        <v>88</v>
      </c>
      <c r="B58" s="45" t="e">
        <f t="shared" ref="B58:AB58" si="31">B30+B39+B56</f>
        <v>#REF!</v>
      </c>
      <c r="C58" s="45" t="e">
        <f t="shared" si="31"/>
        <v>#REF!</v>
      </c>
      <c r="D58" s="45" t="e">
        <f t="shared" si="31"/>
        <v>#REF!</v>
      </c>
      <c r="E58" s="45" t="e">
        <f t="shared" si="31"/>
        <v>#REF!</v>
      </c>
      <c r="F58" s="45" t="e">
        <f t="shared" si="31"/>
        <v>#REF!</v>
      </c>
      <c r="G58" s="45" t="e">
        <f t="shared" si="31"/>
        <v>#REF!</v>
      </c>
      <c r="H58" s="45" t="e">
        <f t="shared" si="31"/>
        <v>#REF!</v>
      </c>
      <c r="I58" s="45" t="e">
        <f t="shared" si="31"/>
        <v>#REF!</v>
      </c>
      <c r="J58" s="45" t="e">
        <f t="shared" si="31"/>
        <v>#REF!</v>
      </c>
      <c r="K58" s="45" t="e">
        <f t="shared" si="31"/>
        <v>#REF!</v>
      </c>
      <c r="L58" s="45">
        <f t="shared" si="31"/>
        <v>6000</v>
      </c>
      <c r="M58" s="205">
        <f t="shared" si="31"/>
        <v>-2.4999999999999574</v>
      </c>
      <c r="N58" s="205">
        <f t="shared" si="31"/>
        <v>0.30000000000002558</v>
      </c>
      <c r="O58" s="205">
        <f t="shared" si="31"/>
        <v>-3.6000000000000938</v>
      </c>
      <c r="P58" s="205">
        <f t="shared" si="31"/>
        <v>7.4000000000000128</v>
      </c>
      <c r="Q58" s="205">
        <f t="shared" si="31"/>
        <v>11.000000000000128</v>
      </c>
      <c r="R58" s="205">
        <f t="shared" si="31"/>
        <v>-9.2999999999999545</v>
      </c>
      <c r="S58" s="205">
        <f t="shared" si="31"/>
        <v>-2.9000000000001194</v>
      </c>
      <c r="T58" s="205">
        <f t="shared" si="31"/>
        <v>-0.90000000000007674</v>
      </c>
      <c r="U58" s="205">
        <f t="shared" si="31"/>
        <v>-9.9999999999909051E-2</v>
      </c>
      <c r="V58" s="205">
        <f t="shared" si="31"/>
        <v>2.5000000000001847</v>
      </c>
      <c r="W58" s="205">
        <f t="shared" si="31"/>
        <v>-1.5999999999998238</v>
      </c>
      <c r="X58" s="205">
        <f t="shared" si="31"/>
        <v>-3.3000000000000682</v>
      </c>
      <c r="Y58" s="205">
        <f t="shared" si="31"/>
        <v>11.700000000000045</v>
      </c>
      <c r="Z58" s="205">
        <f t="shared" si="31"/>
        <v>3.200000000000216</v>
      </c>
      <c r="AA58" s="205">
        <f t="shared" ref="AA58" si="32">AA30+AA39+AA56</f>
        <v>100.10000000000014</v>
      </c>
      <c r="AB58" s="205">
        <f t="shared" si="31"/>
        <v>-108.00000000000009</v>
      </c>
      <c r="AC58" s="34" t="s">
        <v>88</v>
      </c>
      <c r="AD58" s="43" t="e">
        <f t="shared" ref="AD58:AS58" si="33">B58/AD$10</f>
        <v>#REF!</v>
      </c>
      <c r="AE58" s="43" t="e">
        <f t="shared" si="33"/>
        <v>#REF!</v>
      </c>
      <c r="AF58" s="43" t="e">
        <f t="shared" si="33"/>
        <v>#REF!</v>
      </c>
      <c r="AG58" s="43" t="e">
        <f t="shared" si="33"/>
        <v>#REF!</v>
      </c>
      <c r="AH58" s="43" t="e">
        <f t="shared" si="33"/>
        <v>#REF!</v>
      </c>
      <c r="AI58" s="43" t="e">
        <f t="shared" si="33"/>
        <v>#REF!</v>
      </c>
      <c r="AJ58" s="43" t="e">
        <f t="shared" si="33"/>
        <v>#REF!</v>
      </c>
      <c r="AK58" s="43" t="e">
        <f t="shared" si="33"/>
        <v>#REF!</v>
      </c>
      <c r="AL58" s="43" t="e">
        <f t="shared" si="33"/>
        <v>#REF!</v>
      </c>
      <c r="AM58" s="43" t="e">
        <f t="shared" si="33"/>
        <v>#REF!</v>
      </c>
      <c r="AN58" s="209">
        <f t="shared" si="33"/>
        <v>6.5224480921839323</v>
      </c>
      <c r="AO58" s="43">
        <f t="shared" si="33"/>
        <v>-2.7688559087384618E-3</v>
      </c>
      <c r="AP58" s="43">
        <f t="shared" si="33"/>
        <v>3.0966143682909327E-4</v>
      </c>
      <c r="AQ58" s="43">
        <f t="shared" si="33"/>
        <v>-4.1753653444677498E-3</v>
      </c>
      <c r="AR58" s="43">
        <f t="shared" si="33"/>
        <v>7.5065936295394733E-3</v>
      </c>
      <c r="AS58" s="43">
        <f t="shared" si="33"/>
        <v>1.1447601207201716E-2</v>
      </c>
      <c r="AT58" s="208"/>
      <c r="AU58" s="35">
        <f>AVERAGE(AN58:AR58)</f>
        <v>1.304664025199419</v>
      </c>
    </row>
    <row r="59" spans="1:47" ht="12" customHeight="1" x14ac:dyDescent="0.2">
      <c r="A59" s="3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34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208"/>
      <c r="AO59" s="35"/>
      <c r="AP59" s="35"/>
      <c r="AQ59" s="35"/>
      <c r="AR59" s="35"/>
      <c r="AS59" s="35"/>
      <c r="AT59" s="208"/>
      <c r="AU59" s="88"/>
    </row>
    <row r="60" spans="1:47" ht="12.75" customHeight="1" x14ac:dyDescent="0.2">
      <c r="A60" s="32" t="s">
        <v>89</v>
      </c>
      <c r="B60" s="42">
        <v>3326</v>
      </c>
      <c r="C60" s="45">
        <v>1708</v>
      </c>
      <c r="D60" s="45">
        <f t="shared" ref="D60:J60" si="34">C62</f>
        <v>882</v>
      </c>
      <c r="E60" s="45">
        <f t="shared" si="34"/>
        <v>4366</v>
      </c>
      <c r="F60" s="45">
        <f t="shared" si="34"/>
        <v>2993</v>
      </c>
      <c r="G60" s="45">
        <f t="shared" si="34"/>
        <v>3894</v>
      </c>
      <c r="H60" s="45">
        <f t="shared" si="34"/>
        <v>2131</v>
      </c>
      <c r="I60" s="45" t="e">
        <f t="shared" si="34"/>
        <v>#REF!</v>
      </c>
      <c r="J60" s="45" t="e">
        <f t="shared" si="34"/>
        <v>#REF!</v>
      </c>
      <c r="K60" s="45" t="e">
        <f>J62</f>
        <v>#REF!</v>
      </c>
      <c r="L60" s="45" t="e">
        <f>K62</f>
        <v>#REF!</v>
      </c>
      <c r="M60" s="205">
        <v>7.2</v>
      </c>
      <c r="N60" s="205">
        <f t="shared" ref="N60:X60" si="35">M62</f>
        <v>4.7000000000000428</v>
      </c>
      <c r="O60" s="205">
        <f t="shared" si="35"/>
        <v>5.0000000000000684</v>
      </c>
      <c r="P60" s="205">
        <f t="shared" si="35"/>
        <v>1.3999999999999746</v>
      </c>
      <c r="Q60" s="205">
        <f t="shared" si="35"/>
        <v>8.7999999999999865</v>
      </c>
      <c r="R60" s="205">
        <f t="shared" si="35"/>
        <v>19.800000000000114</v>
      </c>
      <c r="S60" s="205">
        <f t="shared" si="35"/>
        <v>10.50000000000016</v>
      </c>
      <c r="T60" s="205">
        <f t="shared" si="35"/>
        <v>7.6000000000000405</v>
      </c>
      <c r="U60" s="205">
        <f t="shared" si="35"/>
        <v>6.6999999999999638</v>
      </c>
      <c r="V60" s="205">
        <f t="shared" si="35"/>
        <v>6.6000000000000547</v>
      </c>
      <c r="W60" s="205">
        <f t="shared" si="35"/>
        <v>9.1000000000002395</v>
      </c>
      <c r="X60" s="205">
        <f t="shared" si="35"/>
        <v>7.5000000000004157</v>
      </c>
      <c r="Y60" s="205">
        <f t="shared" ref="Y60" si="36">X62</f>
        <v>4.2000000000003475</v>
      </c>
      <c r="Z60" s="205">
        <f t="shared" ref="Z60:AA60" si="37">Y62</f>
        <v>15.900000000000393</v>
      </c>
      <c r="AA60" s="205">
        <f t="shared" si="37"/>
        <v>19.100000000000609</v>
      </c>
      <c r="AB60" s="225">
        <f>+AA62</f>
        <v>119.20000000000074</v>
      </c>
      <c r="AC60" s="34" t="s">
        <v>89</v>
      </c>
      <c r="AD60" s="43" t="e">
        <f t="shared" ref="AD60:AS60" si="38">B60/AD$10</f>
        <v>#REF!</v>
      </c>
      <c r="AE60" s="43" t="e">
        <f t="shared" si="38"/>
        <v>#REF!</v>
      </c>
      <c r="AF60" s="43" t="e">
        <f t="shared" si="38"/>
        <v>#REF!</v>
      </c>
      <c r="AG60" s="43" t="e">
        <f t="shared" si="38"/>
        <v>#REF!</v>
      </c>
      <c r="AH60" s="43" t="e">
        <f t="shared" si="38"/>
        <v>#REF!</v>
      </c>
      <c r="AI60" s="43" t="e">
        <f t="shared" si="38"/>
        <v>#REF!</v>
      </c>
      <c r="AJ60" s="43" t="e">
        <f t="shared" si="38"/>
        <v>#REF!</v>
      </c>
      <c r="AK60" s="43" t="e">
        <f t="shared" si="38"/>
        <v>#REF!</v>
      </c>
      <c r="AL60" s="43" t="e">
        <f t="shared" si="38"/>
        <v>#REF!</v>
      </c>
      <c r="AM60" s="43" t="e">
        <f t="shared" si="38"/>
        <v>#REF!</v>
      </c>
      <c r="AN60" s="209" t="e">
        <f t="shared" si="38"/>
        <v>#REF!</v>
      </c>
      <c r="AO60" s="43">
        <f t="shared" si="38"/>
        <v>7.974305017166906E-3</v>
      </c>
      <c r="AP60" s="43">
        <f t="shared" si="38"/>
        <v>4.8513625103220916E-3</v>
      </c>
      <c r="AQ60" s="43">
        <f t="shared" si="38"/>
        <v>5.7991185339829141E-3</v>
      </c>
      <c r="AR60" s="43">
        <f t="shared" si="38"/>
        <v>1.4201663623452775E-3</v>
      </c>
      <c r="AS60" s="43">
        <f t="shared" si="38"/>
        <v>9.1580809657612512E-3</v>
      </c>
      <c r="AT60" s="208"/>
      <c r="AU60" s="35" t="e">
        <f>AVERAGE(AN60:AR60)</f>
        <v>#REF!</v>
      </c>
    </row>
    <row r="61" spans="1:47" ht="12" customHeight="1" x14ac:dyDescent="0.2">
      <c r="A61" s="3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34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208"/>
      <c r="AO61" s="35"/>
      <c r="AP61" s="35"/>
      <c r="AQ61" s="35"/>
      <c r="AR61" s="35"/>
      <c r="AS61" s="35"/>
      <c r="AT61" s="208"/>
      <c r="AU61" s="88"/>
    </row>
    <row r="62" spans="1:47" ht="12.75" customHeight="1" thickBot="1" x14ac:dyDescent="0.25">
      <c r="A62" s="32" t="s">
        <v>90</v>
      </c>
      <c r="B62" s="46" t="e">
        <f>B58+B60</f>
        <v>#REF!</v>
      </c>
      <c r="C62" s="45">
        <v>882</v>
      </c>
      <c r="D62" s="45">
        <v>4366</v>
      </c>
      <c r="E62" s="45">
        <v>2993</v>
      </c>
      <c r="F62" s="45">
        <v>3894</v>
      </c>
      <c r="G62" s="45">
        <v>2131</v>
      </c>
      <c r="H62" s="45" t="e">
        <f t="shared" ref="H62:AB62" si="39">H58+H60</f>
        <v>#REF!</v>
      </c>
      <c r="I62" s="45" t="e">
        <f t="shared" si="39"/>
        <v>#REF!</v>
      </c>
      <c r="J62" s="45" t="e">
        <f t="shared" si="39"/>
        <v>#REF!</v>
      </c>
      <c r="K62" s="45" t="e">
        <f t="shared" si="39"/>
        <v>#REF!</v>
      </c>
      <c r="L62" s="45" t="e">
        <f t="shared" si="39"/>
        <v>#REF!</v>
      </c>
      <c r="M62" s="205">
        <f t="shared" si="39"/>
        <v>4.7000000000000428</v>
      </c>
      <c r="N62" s="205">
        <f t="shared" si="39"/>
        <v>5.0000000000000684</v>
      </c>
      <c r="O62" s="205">
        <f t="shared" si="39"/>
        <v>1.3999999999999746</v>
      </c>
      <c r="P62" s="205">
        <f t="shared" si="39"/>
        <v>8.7999999999999865</v>
      </c>
      <c r="Q62" s="205">
        <f t="shared" si="39"/>
        <v>19.800000000000114</v>
      </c>
      <c r="R62" s="205">
        <f t="shared" si="39"/>
        <v>10.50000000000016</v>
      </c>
      <c r="S62" s="205">
        <f t="shared" si="39"/>
        <v>7.6000000000000405</v>
      </c>
      <c r="T62" s="205">
        <f t="shared" si="39"/>
        <v>6.6999999999999638</v>
      </c>
      <c r="U62" s="205">
        <f t="shared" ref="U62:V62" si="40">U58+U60</f>
        <v>6.6000000000000547</v>
      </c>
      <c r="V62" s="205">
        <f t="shared" si="40"/>
        <v>9.1000000000002395</v>
      </c>
      <c r="W62" s="205">
        <f t="shared" ref="W62:X62" si="41">W58+W60</f>
        <v>7.5000000000004157</v>
      </c>
      <c r="X62" s="205">
        <f t="shared" si="41"/>
        <v>4.2000000000003475</v>
      </c>
      <c r="Y62" s="205">
        <f t="shared" ref="Y62:Z62" si="42">Y58+Y60</f>
        <v>15.900000000000393</v>
      </c>
      <c r="Z62" s="205">
        <f t="shared" si="42"/>
        <v>19.100000000000609</v>
      </c>
      <c r="AA62" s="205">
        <f t="shared" ref="AA62" si="43">AA58+AA60</f>
        <v>119.20000000000074</v>
      </c>
      <c r="AB62" s="205">
        <f t="shared" si="39"/>
        <v>11.200000000000657</v>
      </c>
      <c r="AC62" s="34" t="s">
        <v>90</v>
      </c>
      <c r="AD62" s="43" t="e">
        <f t="shared" ref="AD62:AS62" si="44">B62/AD$10</f>
        <v>#REF!</v>
      </c>
      <c r="AE62" s="43" t="e">
        <f t="shared" si="44"/>
        <v>#REF!</v>
      </c>
      <c r="AF62" s="43" t="e">
        <f t="shared" si="44"/>
        <v>#REF!</v>
      </c>
      <c r="AG62" s="43" t="e">
        <f t="shared" si="44"/>
        <v>#REF!</v>
      </c>
      <c r="AH62" s="43" t="e">
        <f t="shared" si="44"/>
        <v>#REF!</v>
      </c>
      <c r="AI62" s="43" t="e">
        <f t="shared" si="44"/>
        <v>#REF!</v>
      </c>
      <c r="AJ62" s="43" t="e">
        <f t="shared" si="44"/>
        <v>#REF!</v>
      </c>
      <c r="AK62" s="43" t="e">
        <f t="shared" si="44"/>
        <v>#REF!</v>
      </c>
      <c r="AL62" s="43" t="e">
        <f t="shared" si="44"/>
        <v>#REF!</v>
      </c>
      <c r="AM62" s="43" t="e">
        <f t="shared" si="44"/>
        <v>#REF!</v>
      </c>
      <c r="AN62" s="209" t="e">
        <f t="shared" si="44"/>
        <v>#REF!</v>
      </c>
      <c r="AO62" s="43">
        <f t="shared" si="44"/>
        <v>5.2054491084284442E-3</v>
      </c>
      <c r="AP62" s="43">
        <f t="shared" si="44"/>
        <v>5.1610239471511854E-3</v>
      </c>
      <c r="AQ62" s="43">
        <f t="shared" si="44"/>
        <v>1.6237531895151643E-3</v>
      </c>
      <c r="AR62" s="43">
        <f t="shared" si="44"/>
        <v>8.9267599918847508E-3</v>
      </c>
      <c r="AS62" s="43">
        <f t="shared" si="44"/>
        <v>2.0605682172962967E-2</v>
      </c>
      <c r="AT62" s="208"/>
      <c r="AU62" s="35" t="e">
        <f>AVERAGE(AN62:AR62)</f>
        <v>#REF!</v>
      </c>
    </row>
    <row r="63" spans="1:47" ht="12.75" customHeight="1" thickTop="1" x14ac:dyDescent="0.2">
      <c r="A63" s="47"/>
      <c r="B63" s="48"/>
      <c r="C63" s="49"/>
      <c r="D63" s="48"/>
      <c r="E63" s="48"/>
      <c r="F63" s="48"/>
      <c r="G63" s="48"/>
      <c r="H63" s="48"/>
      <c r="I63" s="48"/>
      <c r="J63" s="48"/>
      <c r="K63" s="48"/>
      <c r="L63" s="4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50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210"/>
      <c r="AO63" s="51"/>
      <c r="AP63" s="51"/>
      <c r="AQ63" s="51"/>
      <c r="AR63" s="51"/>
      <c r="AS63" s="51"/>
      <c r="AT63" s="210"/>
      <c r="AU63" s="52"/>
    </row>
    <row r="64" spans="1:47" x14ac:dyDescent="0.2">
      <c r="AN64" s="211"/>
    </row>
    <row r="65" spans="40:40" x14ac:dyDescent="0.2">
      <c r="AN65" s="211"/>
    </row>
  </sheetData>
  <mergeCells count="4">
    <mergeCell ref="B7:G7"/>
    <mergeCell ref="A3:AB3"/>
    <mergeCell ref="A4:AB4"/>
    <mergeCell ref="A5:AB5"/>
  </mergeCells>
  <phoneticPr fontId="0" type="noConversion"/>
  <printOptions horizontalCentered="1"/>
  <pageMargins left="0.75" right="0.75" top="1" bottom="1" header="0.5" footer="0.5"/>
  <pageSetup scale="65" fitToWidth="2" orientation="portrait" r:id="rId1"/>
  <headerFooter alignWithMargins="0"/>
  <colBreaks count="1" manualBreakCount="1">
    <brk id="2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Historical - Exhibit 1</vt:lpstr>
      <vt:lpstr>Historical CF - Exhibit 1B</vt:lpstr>
      <vt:lpstr>OSF</vt:lpstr>
      <vt:lpstr>'Historical - Exhibit 1'!Print_Area</vt:lpstr>
      <vt:lpstr>'Historical CF - Exhibit 1B'!Print_Area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Peterson</dc:creator>
  <cp:lastModifiedBy>Fred Nass</cp:lastModifiedBy>
  <cp:lastPrinted>2024-03-27T18:15:09Z</cp:lastPrinted>
  <dcterms:created xsi:type="dcterms:W3CDTF">2005-09-19T14:11:29Z</dcterms:created>
  <dcterms:modified xsi:type="dcterms:W3CDTF">2026-01-06T23:10:24Z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{AC6A16F2-5BA8-46B1-BD55-953633496CE6}</vt:lpwstr>
  </property>
</Properties>
</file>