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Websites\Pscweb\utilities\water\25docs\25228003\"/>
    </mc:Choice>
  </mc:AlternateContent>
  <xr:revisionPtr revIDLastSave="0" documentId="8_{110D91AB-9D48-420C-AB9E-E6BD0B23575D}" xr6:coauthVersionLast="47" xr6:coauthVersionMax="47" xr10:uidLastSave="{00000000-0000-0000-0000-000000000000}"/>
  <bookViews>
    <workbookView xWindow="315" yWindow="225" windowWidth="25155" windowHeight="20655" xr2:uid="{00000000-000D-0000-FFFF-FFFF00000000}"/>
  </bookViews>
  <sheets>
    <sheet name="R Exhibit 2.1 Annual Comparison" sheetId="1" r:id="rId1"/>
    <sheet name="R Exhibit 2.2 iMoneyTools Lease" sheetId="2" r:id="rId2"/>
    <sheet name="R Exhibit 2.3 Dealer Inputs" sheetId="3" r:id="rId3"/>
    <sheet name="R Exhibit 2.4 Dealer Analysis" sheetId="4" r:id="rId4"/>
    <sheet name="R Exhibit 2.5 Sources &amp; Checks" sheetId="5" r:id="rId5"/>
  </sheets>
  <definedNames>
    <definedName name="_xlnm.Print_Area" localSheetId="0">'R Exhibit 2.1 Annual Comparison'!$A$1:$E$28</definedName>
    <definedName name="_xlnm.Print_Area" localSheetId="1">'R Exhibit 2.2 iMoneyTools Lease'!$A$1:$F$21</definedName>
    <definedName name="_xlnm.Print_Area" localSheetId="2">'R Exhibit 2.3 Dealer Inputs'!$A$1:$O$14</definedName>
    <definedName name="_xlnm.Print_Area" localSheetId="3">'R Exhibit 2.4 Dealer Analysis'!$A$4:$L$14</definedName>
    <definedName name="_xlnm.Print_Area" localSheetId="4">'R Exhibit 2.5 Sources &amp; Checks'!$A$1:$F$17</definedName>
    <definedName name="_xlnm.Print_Titles" localSheetId="2">'R Exhibit 2.3 Dealer Inputs'!$A:$C,'R Exhibit 2.3 Dealer Inputs'!$1:$4</definedName>
    <definedName name="_xlnm.Print_Titles" localSheetId="3">'R Exhibit 2.4 Dealer Analysis'!$A:$B,'R Exhibit 2.4 Dealer Analysis'!$1:$5</definedName>
    <definedName name="_xlnm.Print_Titles" localSheetId="4">'R Exhibit 2.5 Sources &amp; Checks'!$A:$A,'R Exhibit 2.5 Sources &amp; Checks'!$1:$6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4" l="1"/>
  <c r="B13" i="4"/>
  <c r="A13" i="4"/>
  <c r="C12" i="4"/>
  <c r="B12" i="4"/>
  <c r="A12" i="4"/>
  <c r="C11" i="4"/>
  <c r="B11" i="4"/>
  <c r="A11" i="4"/>
  <c r="C10" i="4"/>
  <c r="B10" i="4"/>
  <c r="A10" i="4"/>
  <c r="C9" i="4"/>
  <c r="B9" i="4"/>
  <c r="A9" i="4"/>
  <c r="C8" i="4"/>
  <c r="B8" i="4"/>
  <c r="A8" i="4"/>
  <c r="N13" i="3"/>
  <c r="I13" i="3"/>
  <c r="L13" i="3" s="1"/>
  <c r="F13" i="4" s="1"/>
  <c r="I13" i="4" s="1"/>
  <c r="G13" i="3"/>
  <c r="D13" i="4" s="1"/>
  <c r="E13" i="4" s="1"/>
  <c r="N12" i="3"/>
  <c r="I12" i="3"/>
  <c r="L12" i="3" s="1"/>
  <c r="F12" i="4" s="1"/>
  <c r="I12" i="4" s="1"/>
  <c r="G12" i="3"/>
  <c r="D12" i="4" s="1"/>
  <c r="E12" i="4" s="1"/>
  <c r="N11" i="3"/>
  <c r="I11" i="3"/>
  <c r="L11" i="3" s="1"/>
  <c r="F11" i="4" s="1"/>
  <c r="I11" i="4" s="1"/>
  <c r="G11" i="3"/>
  <c r="D11" i="4" s="1"/>
  <c r="E11" i="4" s="1"/>
  <c r="N10" i="3"/>
  <c r="I10" i="3"/>
  <c r="L10" i="3" s="1"/>
  <c r="F10" i="4" s="1"/>
  <c r="I10" i="4" s="1"/>
  <c r="G10" i="3"/>
  <c r="D10" i="4" s="1"/>
  <c r="E10" i="4" s="1"/>
  <c r="N9" i="3"/>
  <c r="I9" i="3"/>
  <c r="L9" i="3" s="1"/>
  <c r="F9" i="4" s="1"/>
  <c r="I9" i="4" s="1"/>
  <c r="D10" i="1" s="1"/>
  <c r="G9" i="3"/>
  <c r="D9" i="4" s="1"/>
  <c r="E9" i="4" s="1"/>
  <c r="N8" i="3"/>
  <c r="I8" i="3"/>
  <c r="L8" i="3" s="1"/>
  <c r="F8" i="4" s="1"/>
  <c r="I8" i="4" s="1"/>
  <c r="C10" i="1" s="1"/>
  <c r="G8" i="3"/>
  <c r="D8" i="4" s="1"/>
  <c r="E8" i="4" s="1"/>
  <c r="C13" i="2"/>
  <c r="C12" i="2"/>
  <c r="B10" i="2"/>
  <c r="C9" i="2"/>
  <c r="C8" i="2"/>
  <c r="B11" i="1"/>
  <c r="B10" i="1"/>
  <c r="G13" i="4" l="1"/>
  <c r="H13" i="4"/>
  <c r="G12" i="4"/>
  <c r="H12" i="4"/>
  <c r="G11" i="4"/>
  <c r="H11" i="4"/>
  <c r="G10" i="4"/>
  <c r="H10" i="4"/>
  <c r="G9" i="4"/>
  <c r="H9" i="4"/>
  <c r="D9" i="1" s="1"/>
  <c r="D12" i="1" s="1"/>
  <c r="G8" i="4"/>
  <c r="H8" i="4"/>
  <c r="B11" i="2"/>
  <c r="C10" i="2"/>
  <c r="C9" i="1" l="1"/>
  <c r="C12" i="1" s="1"/>
  <c r="B32" i="1" s="1"/>
  <c r="J13" i="4"/>
  <c r="K13" i="4"/>
  <c r="L13" i="4" s="1"/>
  <c r="J12" i="4"/>
  <c r="K12" i="4"/>
  <c r="L12" i="4" s="1"/>
  <c r="J11" i="4"/>
  <c r="K11" i="4"/>
  <c r="L11" i="4" s="1"/>
  <c r="J10" i="4"/>
  <c r="K10" i="4"/>
  <c r="L10" i="4" s="1"/>
  <c r="J9" i="4"/>
  <c r="K9" i="4"/>
  <c r="B33" i="1"/>
  <c r="J8" i="4"/>
  <c r="K8" i="4"/>
  <c r="C11" i="2"/>
  <c r="B15" i="2"/>
  <c r="B9" i="1"/>
  <c r="B12" i="1" s="1"/>
  <c r="L9" i="4" l="1"/>
  <c r="D17" i="1"/>
  <c r="D18" i="1" s="1"/>
  <c r="L8" i="4"/>
  <c r="C17" i="1"/>
  <c r="B31" i="1"/>
  <c r="B17" i="1"/>
  <c r="D13" i="1"/>
  <c r="C13" i="1"/>
  <c r="C18" i="1" l="1"/>
</calcChain>
</file>

<file path=xl/sharedStrings.xml><?xml version="1.0" encoding="utf-8"?>
<sst xmlns="http://schemas.openxmlformats.org/spreadsheetml/2006/main" count="228" uniqueCount="175">
  <si>
    <t>iMoneyTools provides all three machines already on the mountain. Dealer alternatives assume monthly rental, delivery, and pickup for the stated utilization.</t>
  </si>
  <si>
    <t>Annual Cost Summary</t>
  </si>
  <si>
    <t>iMoneyTools</t>
  </si>
  <si>
    <t>Wheeler</t>
  </si>
  <si>
    <t>Sunbelt</t>
  </si>
  <si>
    <t>Rent / rental charges</t>
  </si>
  <si>
    <t>Delivery and pickup</t>
  </si>
  <si>
    <t>Maintenance included</t>
  </si>
  <si>
    <t>Known annual cost</t>
  </si>
  <si>
    <t>Annual savings vs iMoneyTools</t>
  </si>
  <si>
    <t>Five-Year Comparison</t>
  </si>
  <si>
    <t>60-month known cost</t>
  </si>
  <si>
    <t>Savings from iMoneyTools</t>
  </si>
  <si>
    <t>Operational Factor</t>
  </si>
  <si>
    <t>Equipment location</t>
  </si>
  <si>
    <t>Already on the mountain</t>
  </si>
  <si>
    <t>Delivery required</t>
  </si>
  <si>
    <t>Availability</t>
  </si>
  <si>
    <t>Immediate</t>
  </si>
  <si>
    <t>Subject to fleet availability</t>
  </si>
  <si>
    <t>Annual delivery cost</t>
  </si>
  <si>
    <t>$0</t>
  </si>
  <si>
    <t>$44,016</t>
  </si>
  <si>
    <t>$50,618 estimated</t>
  </si>
  <si>
    <t>Routine maintenance</t>
  </si>
  <si>
    <t>Included in annual cost</t>
  </si>
  <si>
    <t>Not included in comparison</t>
  </si>
  <si>
    <t>Equipment insurance</t>
  </si>
  <si>
    <t>Paid by iMoneyTools</t>
  </si>
  <si>
    <t>Repair and downtime response</t>
  </si>
  <si>
    <t>On-site equipment; coordinate promptly under lease</t>
  </si>
  <si>
    <t>Service or replacement scheduling may delay work</t>
  </si>
  <si>
    <t>Provider</t>
  </si>
  <si>
    <t>Known Annual Cost</t>
  </si>
  <si>
    <t>iMoneyTools Lease Terms</t>
  </si>
  <si>
    <t>Terms verified from Equipment Lease Agreement.docx. Yellow cells are editable agreement inputs.</t>
  </si>
  <si>
    <t>Cost Item</t>
  </si>
  <si>
    <t>Agreement Input</t>
  </si>
  <si>
    <t>Annual Amount</t>
  </si>
  <si>
    <t>Agreement Term</t>
  </si>
  <si>
    <t>Responsibility</t>
  </si>
  <si>
    <t>Verified Detail</t>
  </si>
  <si>
    <t>Number of machines</t>
  </si>
  <si>
    <t>Initial term</t>
  </si>
  <si>
    <t>Both parties</t>
  </si>
  <si>
    <t>One year</t>
  </si>
  <si>
    <t>Monthly rent per machine</t>
  </si>
  <si>
    <t>Renewal</t>
  </si>
  <si>
    <t>Automatic</t>
  </si>
  <si>
    <t>Additional one-year terms; 30-day nonrenewal notice</t>
  </si>
  <si>
    <t>Monthly rent total</t>
  </si>
  <si>
    <t>Arranged and paid from the $22,000 annual charge</t>
  </si>
  <si>
    <t>Annual rent</t>
  </si>
  <si>
    <t>Insurance</t>
  </si>
  <si>
    <t>Lessor maintains all equipment insurance</t>
  </si>
  <si>
    <t>Annual maintenance charge</t>
  </si>
  <si>
    <t>Ownership</t>
  </si>
  <si>
    <t>Equipment remains property of lessor</t>
  </si>
  <si>
    <t>Delivery charge</t>
  </si>
  <si>
    <t>Repairs</t>
  </si>
  <si>
    <t>Coordinate with lessor</t>
  </si>
  <si>
    <t>Unauthorized repairs may become Legacy's responsibility</t>
  </si>
  <si>
    <t>Total annual iMoneyTools cost</t>
  </si>
  <si>
    <t>Equipment</t>
  </si>
  <si>
    <t>Included in Lease</t>
  </si>
  <si>
    <t>Excavator</t>
  </si>
  <si>
    <t>Case CX210D</t>
  </si>
  <si>
    <t>Skid steer</t>
  </si>
  <si>
    <t>Case TR340B</t>
  </si>
  <si>
    <t>Mini excavator</t>
  </si>
  <si>
    <t>Kobelco SK55SRX</t>
  </si>
  <si>
    <t>Wheeler and Sunbelt Monthly Rental Inputs</t>
  </si>
  <si>
    <t>Each dealer machine is rented separately every month for 60 months, with one 70-mile delivery and one 70-mile pickup each month.</t>
  </si>
  <si>
    <t>Monthly Hours</t>
  </si>
  <si>
    <t>Dealer</t>
  </si>
  <si>
    <t>Median Model / Class</t>
  </si>
  <si>
    <t>Daily Rate</t>
  </si>
  <si>
    <t>Hours per Day</t>
  </si>
  <si>
    <t>Days / Month</t>
  </si>
  <si>
    <t>One-Way Miles</t>
  </si>
  <si>
    <t>Round-Trip Miles</t>
  </si>
  <si>
    <t>Freight $/Mile</t>
  </si>
  <si>
    <t>Contingency</t>
  </si>
  <si>
    <t>Round-Trip Delivery</t>
  </si>
  <si>
    <t>Months</t>
  </si>
  <si>
    <t>60-Month Hours</t>
  </si>
  <si>
    <t>Source / Method</t>
  </si>
  <si>
    <t>Skidsteer</t>
  </si>
  <si>
    <t>259</t>
  </si>
  <si>
    <t>Wheeler freight rate</t>
  </si>
  <si>
    <t>1,100–1,500 lb track skid steer</t>
  </si>
  <si>
    <t>Wheeler proxy + 15% contingency</t>
  </si>
  <si>
    <t>Mini Excavator</t>
  </si>
  <si>
    <t>304 Mini Excavator</t>
  </si>
  <si>
    <t>Median of 2 mini excavators</t>
  </si>
  <si>
    <t>Excavator / Trackhoe</t>
  </si>
  <si>
    <t>323</t>
  </si>
  <si>
    <t>Wheeler 320–326 freight class</t>
  </si>
  <si>
    <t>60–69K hydraulic excavator</t>
  </si>
  <si>
    <t>Dealer Rental Cost Build</t>
  </si>
  <si>
    <t>Dealer costs use full 8-hour daily rental periods and one delivery/pickup event per month.</t>
  </si>
  <si>
    <t>Monthly Rental</t>
  </si>
  <si>
    <t>Monthly Delivery</t>
  </si>
  <si>
    <t>Monthly Total</t>
  </si>
  <si>
    <t>Annual Rental</t>
  </si>
  <si>
    <t>Annual Delivery</t>
  </si>
  <si>
    <t>Annual Total</t>
  </si>
  <si>
    <t>60-Month Total</t>
  </si>
  <si>
    <t>Effective $/Used Hr</t>
  </si>
  <si>
    <t>Sources Assumptions and Checks</t>
  </si>
  <si>
    <t>Item</t>
  </si>
  <si>
    <t>Value</t>
  </si>
  <si>
    <t>Units / As-of</t>
  </si>
  <si>
    <t>Source Type</t>
  </si>
  <si>
    <t>Reference</t>
  </si>
  <si>
    <t>Notes</t>
  </si>
  <si>
    <t>iMoneyTools lease</t>
  </si>
  <si>
    <t>$1,200 per machine per month</t>
  </si>
  <si>
    <t>Annual agreement</t>
  </si>
  <si>
    <t>Signed-form draft</t>
  </si>
  <si>
    <t>Equipment_Lease_Agreement.docx</t>
  </si>
  <si>
    <t>Three machines; $3,600 monthly total</t>
  </si>
  <si>
    <t>Maintenance</t>
  </si>
  <si>
    <t>$22,000</t>
  </si>
  <si>
    <t>Annual</t>
  </si>
  <si>
    <t>Lease agreement</t>
  </si>
  <si>
    <t>Section 4</t>
  </si>
  <si>
    <t>Included in iMoneyTools known annual cost</t>
  </si>
  <si>
    <t>Lessor responsible</t>
  </si>
  <si>
    <t>Lease term</t>
  </si>
  <si>
    <t>Section 6</t>
  </si>
  <si>
    <t>Included responsibility; no separate cost provided</t>
  </si>
  <si>
    <t>Monthly utilization</t>
  </si>
  <si>
    <t>5.5 / 10.5 / 15 hours</t>
  </si>
  <si>
    <t>Monthly</t>
  </si>
  <si>
    <t>User input</t>
  </si>
  <si>
    <t>Conversation</t>
  </si>
  <si>
    <t>Skid steer / mini excavator / excavator</t>
  </si>
  <si>
    <t>Dealer rental rates</t>
  </si>
  <si>
    <t>Median screenshot rates</t>
  </si>
  <si>
    <t>Aug. 26–27, 2026</t>
  </si>
  <si>
    <t>Screenshots</t>
  </si>
  <si>
    <t>Wheeler and Sunbelt listings</t>
  </si>
  <si>
    <t>Daily periods used because each month resets</t>
  </si>
  <si>
    <t>Distance</t>
  </si>
  <si>
    <t>miles one way</t>
  </si>
  <si>
    <t>140 miles per monthly round trip</t>
  </si>
  <si>
    <t>Wheeler freight</t>
  </si>
  <si>
    <t>$8.00 or $10.20</t>
  </si>
  <si>
    <t>per mile, 60+ miles</t>
  </si>
  <si>
    <t>Dealer guide</t>
  </si>
  <si>
    <t>Wheeler 2025 Rental Rate Guide</t>
  </si>
  <si>
    <t>Varies by freight class</t>
  </si>
  <si>
    <t>Sunbelt freight</t>
  </si>
  <si>
    <t>Wheeler proxy + 15%</t>
  </si>
  <si>
    <t>per round trip</t>
  </si>
  <si>
    <t>Estimate</t>
  </si>
  <si>
    <t>Sunbelt transportation surcharge terms</t>
  </si>
  <si>
    <t>Replace with written Sunbelt quote</t>
  </si>
  <si>
    <t>Excluded dealer costs</t>
  </si>
  <si>
    <t>Maintenance, insurance, fuel, tax, damage waiver, attachments, overtime</t>
  </si>
  <si>
    <t>Not included</t>
  </si>
  <si>
    <t>Scope</t>
  </si>
  <si>
    <t>Not quoted</t>
  </si>
  <si>
    <t>Dealer totals may be understated</t>
  </si>
  <si>
    <t>MODEL STATUS</t>
  </si>
  <si>
    <t>PASS</t>
  </si>
  <si>
    <t>Formulas populated</t>
  </si>
  <si>
    <t>Check</t>
  </si>
  <si>
    <t>Summary totals reconcile</t>
  </si>
  <si>
    <t>No formula errors in automated scan</t>
  </si>
  <si>
    <t>SUMMARY: Annual Equipment Cost Comparison</t>
  </si>
  <si>
    <t>Legacy Sweetwater, Inc.</t>
  </si>
  <si>
    <t>General Rate Case</t>
  </si>
  <si>
    <t>Cost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</si>
</sst>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"/>
    <numFmt numFmtId="165" formatCode="0.0"/>
    <numFmt numFmtId="166" formatCode="\$#,##0.00"/>
    <numFmt numFmtId="167" formatCode="\$0.00"/>
  </numFmts>
  <fonts count="9">
    <font>
      <sz val="11"/>
      <name val="Carlito"/>
    </font>
    <font>
      <b/>
      <sz val="16"/>
      <color rgb="FFFFFFFF"/>
      <name val="Carlito"/>
    </font>
    <font>
      <i/>
      <sz val="11"/>
      <color rgb="FF17324D"/>
      <name val="Carlito"/>
    </font>
    <font>
      <b/>
      <sz val="11"/>
      <color rgb="FFFFFFFF"/>
      <name val="Carlito"/>
    </font>
    <font>
      <sz val="11"/>
      <color rgb="FF0070C0"/>
      <name val="Carlito"/>
    </font>
    <font>
      <b/>
      <sz val="11"/>
      <color rgb="FF1B5E20"/>
      <name val="Carlito"/>
    </font>
    <font>
      <sz val="11"/>
      <color rgb="FF17324D"/>
      <name val="Carlito"/>
    </font>
    <font>
      <sz val="9"/>
      <color rgb="FF98A2B3"/>
      <name val="Carlito"/>
    </font>
    <font>
      <b/>
      <sz val="14"/>
      <color rgb="FF1B5E20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EAF2F8"/>
      </patternFill>
    </fill>
    <fill>
      <patternFill patternType="solid">
        <fgColor rgb="FF2F75B5"/>
      </patternFill>
    </fill>
    <fill>
      <patternFill patternType="solid">
        <fgColor rgb="FFFFF2CC"/>
      </patternFill>
    </fill>
    <fill>
      <patternFill patternType="solid">
        <fgColor rgb="FFE8F5E9"/>
      </patternFill>
    </fill>
  </fills>
  <borders count="19">
    <border>
      <left/>
      <right/>
      <top/>
      <bottom/>
      <diagonal/>
    </border>
    <border>
      <left style="thin">
        <color rgb="FFA5D6A7"/>
      </left>
      <right/>
      <top style="thin">
        <color rgb="FFA5D6A7"/>
      </top>
      <bottom style="thin">
        <color rgb="FFA5D6A7"/>
      </bottom>
      <diagonal/>
    </border>
    <border>
      <left/>
      <right style="thin">
        <color rgb="FFA5D6A7"/>
      </right>
      <top style="thin">
        <color rgb="FFA5D6A7"/>
      </top>
      <bottom style="thin">
        <color rgb="FFA5D6A7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A5D6A7"/>
      </top>
      <bottom style="thin">
        <color rgb="FFA5D6A7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rgb="FFA5D6A7"/>
      </top>
      <bottom style="thin">
        <color rgb="FFA5D6A7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A5D6A7"/>
      </top>
      <bottom style="thin">
        <color rgb="FFA5D6A7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thin">
        <color rgb="FFA5D6A7"/>
      </top>
      <bottom style="thin">
        <color rgb="FFA5D6A7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2" fillId="3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164" fontId="4" fillId="5" borderId="0" xfId="0" applyNumberFormat="1" applyFont="1" applyFill="1" applyAlignment="1">
      <alignment vertical="center"/>
    </xf>
    <xf numFmtId="0" fontId="5" fillId="6" borderId="1" xfId="0" applyFont="1" applyFill="1" applyBorder="1" applyAlignment="1">
      <alignment vertical="center"/>
    </xf>
    <xf numFmtId="164" fontId="5" fillId="6" borderId="2" xfId="0" applyNumberFormat="1" applyFont="1" applyFill="1" applyBorder="1" applyAlignment="1">
      <alignment vertical="center"/>
    </xf>
    <xf numFmtId="166" fontId="4" fillId="5" borderId="0" xfId="0" applyNumberFormat="1" applyFont="1" applyFill="1" applyAlignment="1">
      <alignment vertical="center"/>
    </xf>
    <xf numFmtId="167" fontId="4" fillId="5" borderId="0" xfId="0" applyNumberFormat="1" applyFont="1" applyFill="1" applyAlignment="1">
      <alignment vertical="center"/>
    </xf>
    <xf numFmtId="9" fontId="4" fillId="5" borderId="0" xfId="0" applyNumberFormat="1" applyFont="1" applyFill="1" applyAlignment="1">
      <alignment vertical="center"/>
    </xf>
    <xf numFmtId="166" fontId="0" fillId="0" borderId="0" xfId="0" applyNumberFormat="1" applyAlignment="1">
      <alignment vertical="center"/>
    </xf>
    <xf numFmtId="0" fontId="3" fillId="4" borderId="3" xfId="0" applyFont="1" applyFill="1" applyBorder="1" applyAlignment="1">
      <alignment horizontal="left" vertical="center" wrapText="1" indent="6"/>
    </xf>
    <xf numFmtId="164" fontId="0" fillId="0" borderId="4" xfId="0" applyNumberFormat="1" applyBorder="1" applyAlignment="1">
      <alignment horizontal="left" vertical="center" indent="6"/>
    </xf>
    <xf numFmtId="164" fontId="5" fillId="6" borderId="5" xfId="0" applyNumberFormat="1" applyFont="1" applyFill="1" applyBorder="1" applyAlignment="1">
      <alignment horizontal="left" vertical="center" indent="6"/>
    </xf>
    <xf numFmtId="0" fontId="0" fillId="0" borderId="4" xfId="0" applyBorder="1" applyAlignment="1">
      <alignment horizontal="left" vertical="center" indent="6"/>
    </xf>
    <xf numFmtId="0" fontId="3" fillId="4" borderId="4" xfId="0" applyFont="1" applyFill="1" applyBorder="1" applyAlignment="1">
      <alignment horizontal="left" vertical="center" wrapText="1" indent="6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0" xfId="0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3" fillId="4" borderId="0" xfId="0" applyFont="1" applyFill="1" applyAlignment="1">
      <alignment horizontal="left" vertical="center" wrapText="1" indent="5"/>
    </xf>
    <xf numFmtId="0" fontId="0" fillId="0" borderId="0" xfId="0" applyAlignment="1">
      <alignment horizontal="left" vertical="center" indent="5"/>
    </xf>
    <xf numFmtId="164" fontId="0" fillId="0" borderId="0" xfId="0" applyNumberFormat="1" applyAlignment="1">
      <alignment horizontal="left" vertical="center" indent="5"/>
    </xf>
    <xf numFmtId="165" fontId="4" fillId="5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 indent="4"/>
    </xf>
    <xf numFmtId="0" fontId="4" fillId="5" borderId="0" xfId="0" applyFont="1" applyFill="1" applyAlignment="1">
      <alignment horizontal="left" vertical="center" indent="4"/>
    </xf>
    <xf numFmtId="0" fontId="1" fillId="2" borderId="0" xfId="0" applyFont="1" applyFill="1" applyAlignment="1">
      <alignment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3" fillId="4" borderId="11" xfId="0" applyFont="1" applyFill="1" applyBorder="1" applyAlignment="1">
      <alignment horizontal="left" vertical="center" wrapText="1" indent="6"/>
    </xf>
    <xf numFmtId="164" fontId="0" fillId="0" borderId="12" xfId="0" applyNumberFormat="1" applyBorder="1" applyAlignment="1">
      <alignment horizontal="left" vertical="center" indent="6"/>
    </xf>
    <xf numFmtId="164" fontId="5" fillId="6" borderId="13" xfId="0" applyNumberFormat="1" applyFont="1" applyFill="1" applyBorder="1" applyAlignment="1">
      <alignment horizontal="left" vertical="center" indent="6"/>
    </xf>
    <xf numFmtId="0" fontId="0" fillId="0" borderId="12" xfId="0" applyBorder="1" applyAlignment="1">
      <alignment horizontal="left" vertical="center" indent="6"/>
    </xf>
    <xf numFmtId="0" fontId="3" fillId="4" borderId="12" xfId="0" applyFont="1" applyFill="1" applyBorder="1" applyAlignment="1">
      <alignment horizontal="left" vertical="center" wrapText="1" indent="6"/>
    </xf>
    <xf numFmtId="0" fontId="0" fillId="0" borderId="12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3" fillId="4" borderId="15" xfId="0" applyFont="1" applyFill="1" applyBorder="1" applyAlignment="1">
      <alignment horizontal="left" vertical="center" wrapText="1" indent="6"/>
    </xf>
    <xf numFmtId="164" fontId="0" fillId="0" borderId="16" xfId="0" applyNumberFormat="1" applyBorder="1" applyAlignment="1">
      <alignment horizontal="left" vertical="center" indent="6"/>
    </xf>
    <xf numFmtId="164" fontId="8" fillId="6" borderId="17" xfId="0" applyNumberFormat="1" applyFont="1" applyFill="1" applyBorder="1" applyAlignment="1">
      <alignment horizontal="left" vertical="center" indent="6"/>
    </xf>
    <xf numFmtId="0" fontId="0" fillId="0" borderId="16" xfId="0" applyBorder="1" applyAlignment="1">
      <alignment horizontal="left" vertical="center" indent="6"/>
    </xf>
    <xf numFmtId="0" fontId="3" fillId="4" borderId="16" xfId="0" applyFont="1" applyFill="1" applyBorder="1" applyAlignment="1">
      <alignment horizontal="left" vertical="center" wrapText="1" indent="6"/>
    </xf>
    <xf numFmtId="0" fontId="0" fillId="6" borderId="16" xfId="0" applyFill="1" applyBorder="1" applyAlignment="1">
      <alignment vertical="center" wrapText="1"/>
    </xf>
    <xf numFmtId="0" fontId="0" fillId="0" borderId="18" xfId="0" applyBorder="1" applyAlignment="1">
      <alignment vertical="center"/>
    </xf>
    <xf numFmtId="0" fontId="6" fillId="3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Known Annual Cost by Provider ($)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Known Annual Cost</c:v>
          </c:tx>
          <c:invertIfNegative val="1"/>
          <c:cat>
            <c:strRef>
              <c:f>'R Exhibit 2.1 Annual Comparison'!$A$31:$A$33</c:f>
              <c:strCache>
                <c:ptCount val="3"/>
                <c:pt idx="0">
                  <c:v>iMoneyTools</c:v>
                </c:pt>
                <c:pt idx="1">
                  <c:v>Wheeler</c:v>
                </c:pt>
                <c:pt idx="2">
                  <c:v>Sunbelt</c:v>
                </c:pt>
              </c:strCache>
            </c:strRef>
          </c:cat>
          <c:val>
            <c:numRef>
              <c:f>'R Exhibit 2.1 Annual Comparison'!$B$31:$B$33</c:f>
              <c:numCache>
                <c:formatCode>\$#,##0</c:formatCode>
                <c:ptCount val="3"/>
                <c:pt idx="0">
                  <c:v>65200</c:v>
                </c:pt>
                <c:pt idx="1">
                  <c:v>84948</c:v>
                </c:pt>
                <c:pt idx="2">
                  <c:v>96998.399999999994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07-4245-BC30-AF87B8E544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#,##0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 orientation="landscape" horizontalDpi="0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showGridLines="0" tabSelected="1" workbookViewId="0">
      <selection activeCell="F28" sqref="F28"/>
    </sheetView>
  </sheetViews>
  <sheetFormatPr defaultRowHeight="14.25"/>
  <cols>
    <col min="1" max="1" width="27" customWidth="1"/>
    <col min="2" max="2" width="25" customWidth="1"/>
    <col min="3" max="4" width="28" customWidth="1"/>
    <col min="5" max="5" width="3" customWidth="1"/>
    <col min="6" max="13" width="18" customWidth="1"/>
  </cols>
  <sheetData>
    <row r="1" spans="1:8">
      <c r="A1" t="s">
        <v>172</v>
      </c>
    </row>
    <row r="2" spans="1:8">
      <c r="A2" t="s">
        <v>173</v>
      </c>
    </row>
    <row r="3" spans="1:8">
      <c r="A3" t="s">
        <v>174</v>
      </c>
    </row>
    <row r="5" spans="1:8" ht="31.9" customHeight="1">
      <c r="A5" s="1" t="s">
        <v>171</v>
      </c>
      <c r="B5" s="1"/>
      <c r="C5" s="1"/>
      <c r="D5" s="1"/>
      <c r="E5" s="1"/>
      <c r="F5" s="1"/>
      <c r="G5" s="1"/>
      <c r="H5" s="1"/>
    </row>
    <row r="6" spans="1:8" ht="36" customHeight="1">
      <c r="A6" s="55" t="s">
        <v>0</v>
      </c>
      <c r="B6" s="56"/>
      <c r="C6" s="56"/>
      <c r="D6" s="56"/>
      <c r="E6" s="3"/>
      <c r="F6" s="3"/>
      <c r="G6" s="3"/>
      <c r="H6" s="3"/>
    </row>
    <row r="7" spans="1:8" ht="15" thickBot="1">
      <c r="A7" s="4"/>
      <c r="B7" s="4"/>
      <c r="C7" s="4"/>
      <c r="D7" s="4"/>
      <c r="E7" s="4"/>
      <c r="F7" s="4"/>
      <c r="G7" s="4"/>
      <c r="H7" s="4"/>
    </row>
    <row r="8" spans="1:8" ht="33.950000000000003" customHeight="1">
      <c r="A8" s="35" t="s">
        <v>1</v>
      </c>
      <c r="B8" s="48" t="s">
        <v>2</v>
      </c>
      <c r="C8" s="41" t="s">
        <v>3</v>
      </c>
      <c r="D8" s="18" t="s">
        <v>4</v>
      </c>
      <c r="E8" s="4"/>
      <c r="F8" s="4"/>
      <c r="G8" s="4"/>
      <c r="H8" s="4"/>
    </row>
    <row r="9" spans="1:8">
      <c r="A9" s="36" t="s">
        <v>5</v>
      </c>
      <c r="B9" s="49">
        <f>'R Exhibit 2.2 iMoneyTools Lease'!B11</f>
        <v>43200</v>
      </c>
      <c r="C9" s="42">
        <f>SUMIF('R Exhibit 2.4 Dealer Analysis'!B8:B13,"Wheeler",'R Exhibit 2.4 Dealer Analysis'!H8:H13)</f>
        <v>40932</v>
      </c>
      <c r="D9" s="19">
        <f>SUMIF('R Exhibit 2.4 Dealer Analysis'!B8:B13,"Sunbelt",'R Exhibit 2.4 Dealer Analysis'!H8:H13)</f>
        <v>46380</v>
      </c>
      <c r="E9" s="4"/>
      <c r="F9" s="4"/>
      <c r="G9" s="4"/>
      <c r="H9" s="4"/>
    </row>
    <row r="10" spans="1:8">
      <c r="A10" s="36" t="s">
        <v>6</v>
      </c>
      <c r="B10" s="49">
        <f>'R Exhibit 2.2 iMoneyTools Lease'!B13</f>
        <v>0</v>
      </c>
      <c r="C10" s="42">
        <f>SUMIF('R Exhibit 2.4 Dealer Analysis'!B8:B13,"Wheeler",'R Exhibit 2.4 Dealer Analysis'!I8:I13)</f>
        <v>44016</v>
      </c>
      <c r="D10" s="19">
        <f>SUMIF('R Exhibit 2.4 Dealer Analysis'!B8:B13,"Sunbelt",'R Exhibit 2.4 Dealer Analysis'!I8:I13)</f>
        <v>50618.399999999994</v>
      </c>
      <c r="E10" s="4"/>
      <c r="F10" s="4"/>
      <c r="G10" s="4"/>
      <c r="H10" s="4"/>
    </row>
    <row r="11" spans="1:8">
      <c r="A11" s="36" t="s">
        <v>7</v>
      </c>
      <c r="B11" s="49">
        <f>'R Exhibit 2.2 iMoneyTools Lease'!B12</f>
        <v>22000</v>
      </c>
      <c r="C11" s="42"/>
      <c r="D11" s="19"/>
      <c r="E11" s="4"/>
      <c r="F11" s="4"/>
      <c r="G11" s="4"/>
      <c r="H11" s="4"/>
    </row>
    <row r="12" spans="1:8" ht="18">
      <c r="A12" s="37" t="s">
        <v>8</v>
      </c>
      <c r="B12" s="50">
        <f>SUM(B9:B11)</f>
        <v>65200</v>
      </c>
      <c r="C12" s="43">
        <f>SUM(C9:C10)</f>
        <v>84948</v>
      </c>
      <c r="D12" s="20">
        <f>SUM(D9:D10)</f>
        <v>96998.399999999994</v>
      </c>
      <c r="E12" s="4"/>
      <c r="F12" s="4"/>
      <c r="G12" s="4"/>
      <c r="H12" s="4"/>
    </row>
    <row r="13" spans="1:8">
      <c r="A13" s="36" t="s">
        <v>9</v>
      </c>
      <c r="B13" s="49">
        <v>0</v>
      </c>
      <c r="C13" s="42">
        <f>C12-B12</f>
        <v>19748</v>
      </c>
      <c r="D13" s="19">
        <f>D12-B12</f>
        <v>31798.399999999994</v>
      </c>
      <c r="E13" s="4"/>
      <c r="F13" s="4"/>
      <c r="G13" s="4"/>
      <c r="H13" s="4"/>
    </row>
    <row r="14" spans="1:8">
      <c r="A14" s="36"/>
      <c r="B14" s="51"/>
      <c r="C14" s="44"/>
      <c r="D14" s="21"/>
      <c r="E14" s="4"/>
      <c r="F14" s="4"/>
      <c r="G14" s="4"/>
      <c r="H14" s="4"/>
    </row>
    <row r="15" spans="1:8">
      <c r="A15" s="36"/>
      <c r="B15" s="51"/>
      <c r="C15" s="44"/>
      <c r="D15" s="21"/>
      <c r="E15" s="4"/>
      <c r="F15" s="4"/>
      <c r="G15" s="4"/>
      <c r="H15" s="4"/>
    </row>
    <row r="16" spans="1:8" ht="33.950000000000003" customHeight="1">
      <c r="A16" s="38" t="s">
        <v>10</v>
      </c>
      <c r="B16" s="52" t="s">
        <v>2</v>
      </c>
      <c r="C16" s="45" t="s">
        <v>3</v>
      </c>
      <c r="D16" s="22" t="s">
        <v>4</v>
      </c>
      <c r="E16" s="4"/>
      <c r="F16" s="4"/>
      <c r="G16" s="4"/>
      <c r="H16" s="4"/>
    </row>
    <row r="17" spans="1:8">
      <c r="A17" s="36" t="s">
        <v>11</v>
      </c>
      <c r="B17" s="49">
        <f>B12*5</f>
        <v>326000</v>
      </c>
      <c r="C17" s="42">
        <f>SUMIF('R Exhibit 2.4 Dealer Analysis'!B8:B13,"Wheeler",'R Exhibit 2.4 Dealer Analysis'!K8:K13)</f>
        <v>424740</v>
      </c>
      <c r="D17" s="19">
        <f>SUMIF('R Exhibit 2.4 Dealer Analysis'!B8:B13,"Sunbelt",'R Exhibit 2.4 Dealer Analysis'!K8:K13)</f>
        <v>484992</v>
      </c>
      <c r="E17" s="4"/>
      <c r="F17" s="4"/>
      <c r="G17" s="4"/>
      <c r="H17" s="4"/>
    </row>
    <row r="18" spans="1:8">
      <c r="A18" s="36" t="s">
        <v>12</v>
      </c>
      <c r="B18" s="49">
        <v>0</v>
      </c>
      <c r="C18" s="42">
        <f>C17-B17</f>
        <v>98740</v>
      </c>
      <c r="D18" s="19">
        <f>D17-B17</f>
        <v>158992</v>
      </c>
      <c r="E18" s="4"/>
      <c r="F18" s="4"/>
      <c r="G18" s="4"/>
      <c r="H18" s="4"/>
    </row>
    <row r="19" spans="1:8">
      <c r="A19" s="36"/>
      <c r="B19" s="51"/>
      <c r="C19" s="44"/>
      <c r="D19" s="21"/>
      <c r="E19" s="4"/>
      <c r="F19" s="4"/>
      <c r="G19" s="4"/>
      <c r="H19" s="4"/>
    </row>
    <row r="20" spans="1:8">
      <c r="A20" s="36"/>
      <c r="B20" s="51"/>
      <c r="C20" s="44"/>
      <c r="D20" s="21"/>
      <c r="E20" s="4"/>
      <c r="F20" s="4"/>
      <c r="G20" s="4"/>
      <c r="H20" s="4"/>
    </row>
    <row r="21" spans="1:8" ht="33.950000000000003" customHeight="1">
      <c r="A21" s="38" t="s">
        <v>13</v>
      </c>
      <c r="B21" s="52" t="s">
        <v>2</v>
      </c>
      <c r="C21" s="45" t="s">
        <v>3</v>
      </c>
      <c r="D21" s="22" t="s">
        <v>4</v>
      </c>
      <c r="E21" s="4"/>
      <c r="F21" s="4"/>
      <c r="G21" s="4"/>
      <c r="H21" s="4"/>
    </row>
    <row r="22" spans="1:8">
      <c r="A22" s="39" t="s">
        <v>14</v>
      </c>
      <c r="B22" s="53" t="s">
        <v>15</v>
      </c>
      <c r="C22" s="46" t="s">
        <v>16</v>
      </c>
      <c r="D22" s="23" t="s">
        <v>16</v>
      </c>
      <c r="E22" s="4"/>
      <c r="F22" s="4"/>
      <c r="G22" s="4"/>
      <c r="H22" s="4"/>
    </row>
    <row r="23" spans="1:8">
      <c r="A23" s="39" t="s">
        <v>17</v>
      </c>
      <c r="B23" s="53" t="s">
        <v>18</v>
      </c>
      <c r="C23" s="46" t="s">
        <v>19</v>
      </c>
      <c r="D23" s="23" t="s">
        <v>19</v>
      </c>
      <c r="E23" s="4"/>
      <c r="F23" s="4"/>
      <c r="G23" s="4"/>
      <c r="H23" s="4"/>
    </row>
    <row r="24" spans="1:8">
      <c r="A24" s="39" t="s">
        <v>20</v>
      </c>
      <c r="B24" s="53" t="s">
        <v>21</v>
      </c>
      <c r="C24" s="46" t="s">
        <v>22</v>
      </c>
      <c r="D24" s="23" t="s">
        <v>23</v>
      </c>
      <c r="E24" s="4"/>
      <c r="F24" s="4"/>
      <c r="G24" s="4"/>
      <c r="H24" s="4"/>
    </row>
    <row r="25" spans="1:8">
      <c r="A25" s="39" t="s">
        <v>24</v>
      </c>
      <c r="B25" s="53" t="s">
        <v>25</v>
      </c>
      <c r="C25" s="46" t="s">
        <v>26</v>
      </c>
      <c r="D25" s="23" t="s">
        <v>26</v>
      </c>
      <c r="E25" s="4"/>
      <c r="F25" s="4"/>
      <c r="G25" s="4"/>
      <c r="H25" s="4"/>
    </row>
    <row r="26" spans="1:8">
      <c r="A26" s="39" t="s">
        <v>27</v>
      </c>
      <c r="B26" s="53" t="s">
        <v>28</v>
      </c>
      <c r="C26" s="46" t="s">
        <v>26</v>
      </c>
      <c r="D26" s="23" t="s">
        <v>26</v>
      </c>
      <c r="E26" s="4"/>
      <c r="F26" s="4"/>
      <c r="G26" s="4"/>
      <c r="H26" s="4"/>
    </row>
    <row r="27" spans="1:8" ht="42.75">
      <c r="A27" s="39" t="s">
        <v>29</v>
      </c>
      <c r="B27" s="53" t="s">
        <v>30</v>
      </c>
      <c r="C27" s="46" t="s">
        <v>31</v>
      </c>
      <c r="D27" s="23" t="s">
        <v>31</v>
      </c>
      <c r="E27" s="4"/>
      <c r="F27" s="4"/>
      <c r="G27" s="4"/>
      <c r="H27" s="4"/>
    </row>
    <row r="28" spans="1:8" ht="15" thickBot="1">
      <c r="A28" s="40"/>
      <c r="B28" s="54"/>
      <c r="C28" s="47"/>
      <c r="D28" s="24"/>
      <c r="E28" s="4"/>
      <c r="F28" s="4"/>
      <c r="G28" s="4"/>
      <c r="H28" s="4"/>
    </row>
    <row r="29" spans="1:8">
      <c r="A29" s="4"/>
      <c r="B29" s="4"/>
      <c r="C29" s="4"/>
      <c r="D29" s="4"/>
      <c r="E29" s="4"/>
      <c r="F29" s="4"/>
      <c r="G29" s="4"/>
      <c r="H29" s="4"/>
    </row>
    <row r="30" spans="1:8">
      <c r="A30" s="7" t="s">
        <v>32</v>
      </c>
      <c r="B30" s="7" t="s">
        <v>33</v>
      </c>
      <c r="C30" s="4"/>
      <c r="D30" s="4"/>
      <c r="E30" s="4"/>
      <c r="F30" s="4"/>
      <c r="G30" s="4"/>
      <c r="H30" s="4"/>
    </row>
    <row r="31" spans="1:8">
      <c r="A31" s="7" t="s">
        <v>2</v>
      </c>
      <c r="B31" s="8">
        <f>B12</f>
        <v>65200</v>
      </c>
      <c r="C31" s="4"/>
      <c r="D31" s="4"/>
      <c r="E31" s="4"/>
      <c r="F31" s="4"/>
      <c r="G31" s="4"/>
      <c r="H31" s="4"/>
    </row>
    <row r="32" spans="1:8">
      <c r="A32" s="7" t="s">
        <v>3</v>
      </c>
      <c r="B32" s="8">
        <f>C12</f>
        <v>84948</v>
      </c>
      <c r="C32" s="4"/>
      <c r="D32" s="4"/>
      <c r="E32" s="4"/>
      <c r="F32" s="4"/>
      <c r="G32" s="4"/>
      <c r="H32" s="4"/>
    </row>
    <row r="33" spans="1:8">
      <c r="A33" s="7" t="s">
        <v>4</v>
      </c>
      <c r="B33" s="8">
        <f>D12</f>
        <v>96998.399999999994</v>
      </c>
      <c r="C33" s="4"/>
      <c r="D33" s="4"/>
      <c r="E33" s="4"/>
      <c r="F33" s="4"/>
      <c r="G33" s="4"/>
      <c r="H33" s="4"/>
    </row>
  </sheetData>
  <mergeCells count="1">
    <mergeCell ref="A6:D6"/>
  </mergeCells>
  <pageMargins left="0.7" right="0.7" top="0.75" bottom="0.75" header="0.3" footer="0.3"/>
  <pageSetup orientation="landscape" horizontalDpi="0" verticalDpi="0" r:id="rId1"/>
  <headerFooter>
    <oddHeader>&amp;RRebuttal Exhibit 2.1
&amp;P of &amp;N
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1"/>
  <sheetViews>
    <sheetView showGridLines="0" workbookViewId="0">
      <selection activeCell="D18" sqref="D18"/>
    </sheetView>
  </sheetViews>
  <sheetFormatPr defaultRowHeight="14.25"/>
  <cols>
    <col min="1" max="1" width="28" customWidth="1"/>
    <col min="2" max="2" width="22" customWidth="1"/>
    <col min="3" max="3" width="20" customWidth="1"/>
    <col min="4" max="4" width="24" customWidth="1"/>
    <col min="5" max="5" width="22" customWidth="1"/>
    <col min="6" max="6" width="48" customWidth="1"/>
  </cols>
  <sheetData>
    <row r="1" spans="1:6">
      <c r="A1" t="s">
        <v>172</v>
      </c>
    </row>
    <row r="2" spans="1:6">
      <c r="A2" t="s">
        <v>173</v>
      </c>
    </row>
    <row r="3" spans="1:6">
      <c r="A3" t="s">
        <v>174</v>
      </c>
    </row>
    <row r="4" spans="1:6" ht="31.9" customHeight="1">
      <c r="A4" s="1" t="s">
        <v>34</v>
      </c>
      <c r="B4" s="1"/>
      <c r="C4" s="1"/>
      <c r="D4" s="1"/>
      <c r="E4" s="1" t="s">
        <v>34</v>
      </c>
      <c r="F4" s="1"/>
    </row>
    <row r="5" spans="1:6">
      <c r="A5" s="9" t="s">
        <v>35</v>
      </c>
      <c r="B5" s="9"/>
      <c r="C5" s="9"/>
      <c r="D5" s="9"/>
      <c r="E5" s="9"/>
      <c r="F5" s="9"/>
    </row>
    <row r="6" spans="1:6">
      <c r="A6" s="4"/>
      <c r="B6" s="4"/>
      <c r="C6" s="4"/>
      <c r="D6" s="4"/>
      <c r="E6" s="4"/>
      <c r="F6" s="4"/>
    </row>
    <row r="7" spans="1:6" ht="33.950000000000003" customHeight="1">
      <c r="A7" s="2" t="s">
        <v>36</v>
      </c>
      <c r="B7" s="2" t="s">
        <v>37</v>
      </c>
      <c r="C7" s="28" t="s">
        <v>38</v>
      </c>
      <c r="D7" s="2" t="s">
        <v>39</v>
      </c>
      <c r="E7" s="2" t="s">
        <v>40</v>
      </c>
      <c r="F7" s="2" t="s">
        <v>41</v>
      </c>
    </row>
    <row r="8" spans="1:6">
      <c r="A8" s="4" t="s">
        <v>42</v>
      </c>
      <c r="B8" s="10">
        <v>3</v>
      </c>
      <c r="C8" s="29">
        <f>B8</f>
        <v>3</v>
      </c>
      <c r="D8" s="6" t="s">
        <v>43</v>
      </c>
      <c r="E8" s="6" t="s">
        <v>44</v>
      </c>
      <c r="F8" s="6" t="s">
        <v>45</v>
      </c>
    </row>
    <row r="9" spans="1:6">
      <c r="A9" s="4" t="s">
        <v>46</v>
      </c>
      <c r="B9" s="11">
        <v>1200</v>
      </c>
      <c r="C9" s="30">
        <f>B9*12</f>
        <v>14400</v>
      </c>
      <c r="D9" s="6" t="s">
        <v>47</v>
      </c>
      <c r="E9" s="6" t="s">
        <v>48</v>
      </c>
      <c r="F9" s="6" t="s">
        <v>49</v>
      </c>
    </row>
    <row r="10" spans="1:6">
      <c r="A10" s="4" t="s">
        <v>50</v>
      </c>
      <c r="B10" s="5">
        <f>B8*B9</f>
        <v>3600</v>
      </c>
      <c r="C10" s="30">
        <f>B10*12</f>
        <v>43200</v>
      </c>
      <c r="D10" s="6" t="s">
        <v>24</v>
      </c>
      <c r="E10" s="6" t="s">
        <v>2</v>
      </c>
      <c r="F10" s="6" t="s">
        <v>51</v>
      </c>
    </row>
    <row r="11" spans="1:6">
      <c r="A11" s="4" t="s">
        <v>52</v>
      </c>
      <c r="B11" s="5">
        <f>B10*12</f>
        <v>43200</v>
      </c>
      <c r="C11" s="30">
        <f>B11</f>
        <v>43200</v>
      </c>
      <c r="D11" s="6" t="s">
        <v>53</v>
      </c>
      <c r="E11" s="6" t="s">
        <v>2</v>
      </c>
      <c r="F11" s="6" t="s">
        <v>54</v>
      </c>
    </row>
    <row r="12" spans="1:6">
      <c r="A12" s="4" t="s">
        <v>55</v>
      </c>
      <c r="B12" s="11">
        <v>22000</v>
      </c>
      <c r="C12" s="30">
        <f>B12</f>
        <v>22000</v>
      </c>
      <c r="D12" s="6" t="s">
        <v>56</v>
      </c>
      <c r="E12" s="6" t="s">
        <v>2</v>
      </c>
      <c r="F12" s="6" t="s">
        <v>57</v>
      </c>
    </row>
    <row r="13" spans="1:6" ht="28.5">
      <c r="A13" s="4" t="s">
        <v>58</v>
      </c>
      <c r="B13" s="11">
        <v>0</v>
      </c>
      <c r="C13" s="30">
        <f>B13</f>
        <v>0</v>
      </c>
      <c r="D13" s="6" t="s">
        <v>59</v>
      </c>
      <c r="E13" s="6" t="s">
        <v>60</v>
      </c>
      <c r="F13" s="6" t="s">
        <v>61</v>
      </c>
    </row>
    <row r="14" spans="1:6">
      <c r="A14" s="4"/>
      <c r="B14" s="4"/>
      <c r="C14" s="29"/>
      <c r="D14" s="4"/>
      <c r="E14" s="4"/>
      <c r="F14" s="4"/>
    </row>
    <row r="15" spans="1:6" ht="15">
      <c r="A15" s="12" t="s">
        <v>62</v>
      </c>
      <c r="B15" s="13">
        <f>B11+B12+B13</f>
        <v>65200</v>
      </c>
      <c r="C15" s="4"/>
      <c r="D15" s="4"/>
      <c r="E15" s="4"/>
      <c r="F15" s="4"/>
    </row>
    <row r="16" spans="1:6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 ht="33.950000000000003" customHeight="1">
      <c r="A18" s="2" t="s">
        <v>63</v>
      </c>
      <c r="B18" s="2" t="s">
        <v>64</v>
      </c>
      <c r="C18" s="4"/>
      <c r="D18" s="4"/>
      <c r="E18" s="4"/>
      <c r="F18" s="4"/>
    </row>
    <row r="19" spans="1:6">
      <c r="A19" s="4" t="s">
        <v>65</v>
      </c>
      <c r="B19" s="4" t="s">
        <v>66</v>
      </c>
      <c r="C19" s="4"/>
      <c r="D19" s="4"/>
      <c r="E19" s="4"/>
      <c r="F19" s="4"/>
    </row>
    <row r="20" spans="1:6">
      <c r="A20" s="4" t="s">
        <v>67</v>
      </c>
      <c r="B20" s="4" t="s">
        <v>68</v>
      </c>
      <c r="C20" s="4"/>
      <c r="D20" s="4"/>
      <c r="E20" s="4"/>
      <c r="F20" s="4"/>
    </row>
    <row r="21" spans="1:6">
      <c r="A21" s="4" t="s">
        <v>69</v>
      </c>
      <c r="B21" s="4" t="s">
        <v>70</v>
      </c>
      <c r="C21" s="4"/>
      <c r="D21" s="4"/>
      <c r="E21" s="4"/>
      <c r="F21" s="4"/>
    </row>
  </sheetData>
  <pageMargins left="0.7" right="0.7" top="0.75" bottom="0.75" header="0.3" footer="0.3"/>
  <pageSetup scale="88" fitToWidth="2" fitToHeight="2" orientation="portrait" horizontalDpi="0" verticalDpi="0" r:id="rId1"/>
  <headerFooter>
    <oddHeader>&amp;RRebuttal Exhitit 2.2
&amp;P of &amp;N
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3"/>
  <sheetViews>
    <sheetView showGridLines="0" workbookViewId="0">
      <pane ySplit="7" topLeftCell="A8" activePane="bottomLeft" state="frozen"/>
      <selection pane="bottomLeft" activeCell="C2" sqref="C2"/>
    </sheetView>
  </sheetViews>
  <sheetFormatPr defaultRowHeight="14.25"/>
  <cols>
    <col min="1" max="1" width="24" customWidth="1"/>
    <col min="2" max="2" width="15" customWidth="1"/>
    <col min="3" max="3" width="20.5" customWidth="1"/>
    <col min="4" max="4" width="31" customWidth="1"/>
    <col min="5" max="5" width="14" customWidth="1"/>
    <col min="6" max="6" width="12" customWidth="1"/>
    <col min="7" max="7" width="15" customWidth="1"/>
    <col min="8" max="8" width="14" customWidth="1"/>
    <col min="9" max="10" width="15" customWidth="1"/>
    <col min="11" max="11" width="14" customWidth="1"/>
    <col min="12" max="12" width="19" customWidth="1"/>
    <col min="13" max="13" width="13.625" customWidth="1"/>
    <col min="14" max="14" width="16" customWidth="1"/>
    <col min="15" max="15" width="34" customWidth="1"/>
  </cols>
  <sheetData>
    <row r="1" spans="1:15">
      <c r="A1" t="s">
        <v>172</v>
      </c>
    </row>
    <row r="2" spans="1:15">
      <c r="A2" t="s">
        <v>173</v>
      </c>
    </row>
    <row r="3" spans="1:15">
      <c r="A3" t="s">
        <v>174</v>
      </c>
    </row>
    <row r="4" spans="1:15" ht="31.9" customHeight="1">
      <c r="A4" s="1" t="s">
        <v>71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43.5" customHeight="1">
      <c r="A5" s="57" t="s">
        <v>72</v>
      </c>
      <c r="B5" s="56"/>
      <c r="C5" s="56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33.950000000000003" customHeight="1">
      <c r="A7" s="2" t="s">
        <v>63</v>
      </c>
      <c r="B7" s="2" t="s">
        <v>73</v>
      </c>
      <c r="C7" s="3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</row>
    <row r="8" spans="1:15">
      <c r="A8" s="10" t="s">
        <v>87</v>
      </c>
      <c r="B8" s="31">
        <v>5.5</v>
      </c>
      <c r="C8" s="33" t="s">
        <v>3</v>
      </c>
      <c r="D8" s="10" t="s">
        <v>88</v>
      </c>
      <c r="E8" s="14">
        <v>469</v>
      </c>
      <c r="F8" s="26">
        <v>8</v>
      </c>
      <c r="G8" s="25">
        <f t="shared" ref="G8:G13" si="0">ROUNDUP(B8/F8,0)</f>
        <v>1</v>
      </c>
      <c r="H8" s="26">
        <v>70</v>
      </c>
      <c r="I8" s="25">
        <f t="shared" ref="I8:I13" si="1">H8*2</f>
        <v>140</v>
      </c>
      <c r="J8" s="15">
        <v>8</v>
      </c>
      <c r="K8" s="16">
        <v>0</v>
      </c>
      <c r="L8" s="17">
        <f t="shared" ref="L8:L13" si="2">I8*J8*(1+K8)</f>
        <v>1120</v>
      </c>
      <c r="M8" s="26">
        <v>60</v>
      </c>
      <c r="N8" s="27">
        <f t="shared" ref="N8:N13" si="3">B8*M8</f>
        <v>330</v>
      </c>
      <c r="O8" s="4" t="s">
        <v>89</v>
      </c>
    </row>
    <row r="9" spans="1:15">
      <c r="A9" s="10" t="s">
        <v>87</v>
      </c>
      <c r="B9" s="31">
        <v>5.5</v>
      </c>
      <c r="C9" s="33" t="s">
        <v>4</v>
      </c>
      <c r="D9" s="10" t="s">
        <v>90</v>
      </c>
      <c r="E9" s="14">
        <v>465</v>
      </c>
      <c r="F9" s="26">
        <v>8</v>
      </c>
      <c r="G9" s="25">
        <f t="shared" si="0"/>
        <v>1</v>
      </c>
      <c r="H9" s="26">
        <v>70</v>
      </c>
      <c r="I9" s="25">
        <f t="shared" si="1"/>
        <v>140</v>
      </c>
      <c r="J9" s="15">
        <v>8</v>
      </c>
      <c r="K9" s="16">
        <v>0.15</v>
      </c>
      <c r="L9" s="17">
        <f t="shared" si="2"/>
        <v>1288</v>
      </c>
      <c r="M9" s="26">
        <v>60</v>
      </c>
      <c r="N9" s="27">
        <f t="shared" si="3"/>
        <v>330</v>
      </c>
      <c r="O9" s="4" t="s">
        <v>91</v>
      </c>
    </row>
    <row r="10" spans="1:15">
      <c r="A10" s="10" t="s">
        <v>92</v>
      </c>
      <c r="B10" s="31">
        <v>10.5</v>
      </c>
      <c r="C10" s="33" t="s">
        <v>3</v>
      </c>
      <c r="D10" s="10" t="s">
        <v>93</v>
      </c>
      <c r="E10" s="14">
        <v>458</v>
      </c>
      <c r="F10" s="26">
        <v>8</v>
      </c>
      <c r="G10" s="25">
        <f t="shared" si="0"/>
        <v>2</v>
      </c>
      <c r="H10" s="26">
        <v>70</v>
      </c>
      <c r="I10" s="25">
        <f t="shared" si="1"/>
        <v>140</v>
      </c>
      <c r="J10" s="15">
        <v>8</v>
      </c>
      <c r="K10" s="16">
        <v>0</v>
      </c>
      <c r="L10" s="17">
        <f t="shared" si="2"/>
        <v>1120</v>
      </c>
      <c r="M10" s="26">
        <v>60</v>
      </c>
      <c r="N10" s="27">
        <f t="shared" si="3"/>
        <v>630</v>
      </c>
      <c r="O10" s="4" t="s">
        <v>89</v>
      </c>
    </row>
    <row r="11" spans="1:15">
      <c r="A11" s="10" t="s">
        <v>92</v>
      </c>
      <c r="B11" s="31">
        <v>10.5</v>
      </c>
      <c r="C11" s="33" t="s">
        <v>4</v>
      </c>
      <c r="D11" s="10" t="s">
        <v>94</v>
      </c>
      <c r="E11" s="14">
        <v>575</v>
      </c>
      <c r="F11" s="26">
        <v>8</v>
      </c>
      <c r="G11" s="25">
        <f t="shared" si="0"/>
        <v>2</v>
      </c>
      <c r="H11" s="26">
        <v>70</v>
      </c>
      <c r="I11" s="25">
        <f t="shared" si="1"/>
        <v>140</v>
      </c>
      <c r="J11" s="15">
        <v>8</v>
      </c>
      <c r="K11" s="16">
        <v>0.15</v>
      </c>
      <c r="L11" s="17">
        <f t="shared" si="2"/>
        <v>1288</v>
      </c>
      <c r="M11" s="26">
        <v>60</v>
      </c>
      <c r="N11" s="27">
        <f t="shared" si="3"/>
        <v>630</v>
      </c>
      <c r="O11" s="4" t="s">
        <v>91</v>
      </c>
    </row>
    <row r="12" spans="1:15">
      <c r="A12" s="10" t="s">
        <v>95</v>
      </c>
      <c r="B12" s="31">
        <v>15</v>
      </c>
      <c r="C12" s="33" t="s">
        <v>3</v>
      </c>
      <c r="D12" s="10" t="s">
        <v>96</v>
      </c>
      <c r="E12" s="14">
        <v>1013</v>
      </c>
      <c r="F12" s="26">
        <v>8</v>
      </c>
      <c r="G12" s="25">
        <f t="shared" si="0"/>
        <v>2</v>
      </c>
      <c r="H12" s="26">
        <v>70</v>
      </c>
      <c r="I12" s="25">
        <f t="shared" si="1"/>
        <v>140</v>
      </c>
      <c r="J12" s="15">
        <v>10.199999999999999</v>
      </c>
      <c r="K12" s="16">
        <v>0</v>
      </c>
      <c r="L12" s="17">
        <f t="shared" si="2"/>
        <v>1428</v>
      </c>
      <c r="M12" s="26">
        <v>60</v>
      </c>
      <c r="N12" s="27">
        <f t="shared" si="3"/>
        <v>900</v>
      </c>
      <c r="O12" s="4" t="s">
        <v>97</v>
      </c>
    </row>
    <row r="13" spans="1:15">
      <c r="A13" s="10" t="s">
        <v>95</v>
      </c>
      <c r="B13" s="31">
        <v>15</v>
      </c>
      <c r="C13" s="33" t="s">
        <v>4</v>
      </c>
      <c r="D13" s="10" t="s">
        <v>98</v>
      </c>
      <c r="E13" s="14">
        <v>1125</v>
      </c>
      <c r="F13" s="26">
        <v>8</v>
      </c>
      <c r="G13" s="25">
        <f t="shared" si="0"/>
        <v>2</v>
      </c>
      <c r="H13" s="26">
        <v>70</v>
      </c>
      <c r="I13" s="25">
        <f t="shared" si="1"/>
        <v>140</v>
      </c>
      <c r="J13" s="15">
        <v>10.199999999999999</v>
      </c>
      <c r="K13" s="16">
        <v>0.15</v>
      </c>
      <c r="L13" s="17">
        <f t="shared" si="2"/>
        <v>1642.1999999999998</v>
      </c>
      <c r="M13" s="26">
        <v>60</v>
      </c>
      <c r="N13" s="27">
        <f t="shared" si="3"/>
        <v>900</v>
      </c>
      <c r="O13" s="4" t="s">
        <v>91</v>
      </c>
    </row>
  </sheetData>
  <mergeCells count="1">
    <mergeCell ref="A5:C5"/>
  </mergeCells>
  <pageMargins left="0.7" right="0.7" top="0.75" bottom="0.75" header="0.3" footer="0.3"/>
  <pageSetup scale="72" fitToWidth="3" pageOrder="overThenDown" orientation="landscape" horizontalDpi="0" verticalDpi="0" r:id="rId1"/>
  <headerFooter>
    <oddHeader>&amp;RRebuttal Exhibit 2.3
&amp;P of &amp;N
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3"/>
  <sheetViews>
    <sheetView showGridLines="0" workbookViewId="0">
      <pane ySplit="7" topLeftCell="A8" activePane="bottomLeft" state="frozen"/>
      <selection pane="bottomLeft" activeCell="A2" sqref="A2"/>
    </sheetView>
  </sheetViews>
  <sheetFormatPr defaultRowHeight="14.25"/>
  <cols>
    <col min="1" max="1" width="24" customWidth="1"/>
    <col min="2" max="2" width="13" customWidth="1"/>
    <col min="3" max="3" width="15" customWidth="1"/>
    <col min="4" max="4" width="14" customWidth="1"/>
    <col min="5" max="7" width="16" customWidth="1"/>
    <col min="8" max="10" width="17" customWidth="1"/>
    <col min="11" max="12" width="18" customWidth="1"/>
  </cols>
  <sheetData>
    <row r="1" spans="1:12">
      <c r="A1" t="s">
        <v>172</v>
      </c>
    </row>
    <row r="2" spans="1:12">
      <c r="A2" t="s">
        <v>173</v>
      </c>
    </row>
    <row r="3" spans="1:12">
      <c r="A3" t="s">
        <v>174</v>
      </c>
    </row>
    <row r="4" spans="1:12" ht="31.9" customHeight="1">
      <c r="A4" s="1" t="s">
        <v>99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53.1" customHeight="1">
      <c r="A5" s="57" t="s">
        <v>100</v>
      </c>
      <c r="B5" s="56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33.950000000000003" customHeight="1">
      <c r="A7" s="2" t="s">
        <v>63</v>
      </c>
      <c r="B7" s="2" t="s">
        <v>74</v>
      </c>
      <c r="C7" s="2" t="s">
        <v>73</v>
      </c>
      <c r="D7" s="2" t="s">
        <v>78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</row>
    <row r="8" spans="1:12">
      <c r="A8" s="4" t="str">
        <f>'R Exhibit 2.3 Dealer Inputs'!A8</f>
        <v>Skidsteer</v>
      </c>
      <c r="B8" s="25" t="str">
        <f>'R Exhibit 2.3 Dealer Inputs'!C8</f>
        <v>Wheeler</v>
      </c>
      <c r="C8" s="25">
        <f>'R Exhibit 2.3 Dealer Inputs'!B8</f>
        <v>5.5</v>
      </c>
      <c r="D8" s="25">
        <f>'R Exhibit 2.3 Dealer Inputs'!G8</f>
        <v>1</v>
      </c>
      <c r="E8" s="5">
        <f>D8*'R Exhibit 2.3 Dealer Inputs'!E8</f>
        <v>469</v>
      </c>
      <c r="F8" s="5">
        <f>'R Exhibit 2.3 Dealer Inputs'!L8</f>
        <v>1120</v>
      </c>
      <c r="G8" s="5">
        <f t="shared" ref="G8:G13" si="0">E8+F8</f>
        <v>1589</v>
      </c>
      <c r="H8" s="5">
        <f t="shared" ref="H8:J13" si="1">E8*12</f>
        <v>5628</v>
      </c>
      <c r="I8" s="5">
        <f t="shared" si="1"/>
        <v>13440</v>
      </c>
      <c r="J8" s="5">
        <f t="shared" si="1"/>
        <v>19068</v>
      </c>
      <c r="K8" s="5">
        <f>G8*'R Exhibit 2.3 Dealer Inputs'!M8</f>
        <v>95340</v>
      </c>
      <c r="L8" s="17">
        <f>K8/'R Exhibit 2.3 Dealer Inputs'!N8</f>
        <v>288.90909090909093</v>
      </c>
    </row>
    <row r="9" spans="1:12">
      <c r="A9" s="4" t="str">
        <f>'R Exhibit 2.3 Dealer Inputs'!A9</f>
        <v>Skidsteer</v>
      </c>
      <c r="B9" s="25" t="str">
        <f>'R Exhibit 2.3 Dealer Inputs'!C9</f>
        <v>Sunbelt</v>
      </c>
      <c r="C9" s="25">
        <f>'R Exhibit 2.3 Dealer Inputs'!B9</f>
        <v>5.5</v>
      </c>
      <c r="D9" s="25">
        <f>'R Exhibit 2.3 Dealer Inputs'!G9</f>
        <v>1</v>
      </c>
      <c r="E9" s="5">
        <f>D9*'R Exhibit 2.3 Dealer Inputs'!E9</f>
        <v>465</v>
      </c>
      <c r="F9" s="5">
        <f>'R Exhibit 2.3 Dealer Inputs'!L9</f>
        <v>1288</v>
      </c>
      <c r="G9" s="5">
        <f t="shared" si="0"/>
        <v>1753</v>
      </c>
      <c r="H9" s="5">
        <f t="shared" si="1"/>
        <v>5580</v>
      </c>
      <c r="I9" s="5">
        <f t="shared" si="1"/>
        <v>15456</v>
      </c>
      <c r="J9" s="5">
        <f t="shared" si="1"/>
        <v>21036</v>
      </c>
      <c r="K9" s="5">
        <f>G9*'R Exhibit 2.3 Dealer Inputs'!M9</f>
        <v>105180</v>
      </c>
      <c r="L9" s="17">
        <f>K9/'R Exhibit 2.3 Dealer Inputs'!N9</f>
        <v>318.72727272727275</v>
      </c>
    </row>
    <row r="10" spans="1:12">
      <c r="A10" s="4" t="str">
        <f>'R Exhibit 2.3 Dealer Inputs'!A10</f>
        <v>Mini Excavator</v>
      </c>
      <c r="B10" s="25" t="str">
        <f>'R Exhibit 2.3 Dealer Inputs'!C10</f>
        <v>Wheeler</v>
      </c>
      <c r="C10" s="25">
        <f>'R Exhibit 2.3 Dealer Inputs'!B10</f>
        <v>10.5</v>
      </c>
      <c r="D10" s="25">
        <f>'R Exhibit 2.3 Dealer Inputs'!G10</f>
        <v>2</v>
      </c>
      <c r="E10" s="5">
        <f>D10*'R Exhibit 2.3 Dealer Inputs'!E10</f>
        <v>916</v>
      </c>
      <c r="F10" s="5">
        <f>'R Exhibit 2.3 Dealer Inputs'!L10</f>
        <v>1120</v>
      </c>
      <c r="G10" s="5">
        <f t="shared" si="0"/>
        <v>2036</v>
      </c>
      <c r="H10" s="5">
        <f t="shared" si="1"/>
        <v>10992</v>
      </c>
      <c r="I10" s="5">
        <f t="shared" si="1"/>
        <v>13440</v>
      </c>
      <c r="J10" s="5">
        <f t="shared" si="1"/>
        <v>24432</v>
      </c>
      <c r="K10" s="5">
        <f>G10*'R Exhibit 2.3 Dealer Inputs'!M10</f>
        <v>122160</v>
      </c>
      <c r="L10" s="17">
        <f>K10/'R Exhibit 2.3 Dealer Inputs'!N10</f>
        <v>193.9047619047619</v>
      </c>
    </row>
    <row r="11" spans="1:12">
      <c r="A11" s="4" t="str">
        <f>'R Exhibit 2.3 Dealer Inputs'!A11</f>
        <v>Mini Excavator</v>
      </c>
      <c r="B11" s="25" t="str">
        <f>'R Exhibit 2.3 Dealer Inputs'!C11</f>
        <v>Sunbelt</v>
      </c>
      <c r="C11" s="25">
        <f>'R Exhibit 2.3 Dealer Inputs'!B11</f>
        <v>10.5</v>
      </c>
      <c r="D11" s="25">
        <f>'R Exhibit 2.3 Dealer Inputs'!G11</f>
        <v>2</v>
      </c>
      <c r="E11" s="5">
        <f>D11*'R Exhibit 2.3 Dealer Inputs'!E11</f>
        <v>1150</v>
      </c>
      <c r="F11" s="5">
        <f>'R Exhibit 2.3 Dealer Inputs'!L11</f>
        <v>1288</v>
      </c>
      <c r="G11" s="5">
        <f t="shared" si="0"/>
        <v>2438</v>
      </c>
      <c r="H11" s="5">
        <f t="shared" si="1"/>
        <v>13800</v>
      </c>
      <c r="I11" s="5">
        <f t="shared" si="1"/>
        <v>15456</v>
      </c>
      <c r="J11" s="5">
        <f t="shared" si="1"/>
        <v>29256</v>
      </c>
      <c r="K11" s="5">
        <f>G11*'R Exhibit 2.3 Dealer Inputs'!M11</f>
        <v>146280</v>
      </c>
      <c r="L11" s="17">
        <f>K11/'R Exhibit 2.3 Dealer Inputs'!N11</f>
        <v>232.1904761904762</v>
      </c>
    </row>
    <row r="12" spans="1:12">
      <c r="A12" s="4" t="str">
        <f>'R Exhibit 2.3 Dealer Inputs'!A12</f>
        <v>Excavator / Trackhoe</v>
      </c>
      <c r="B12" s="25" t="str">
        <f>'R Exhibit 2.3 Dealer Inputs'!C12</f>
        <v>Wheeler</v>
      </c>
      <c r="C12" s="25">
        <f>'R Exhibit 2.3 Dealer Inputs'!B12</f>
        <v>15</v>
      </c>
      <c r="D12" s="25">
        <f>'R Exhibit 2.3 Dealer Inputs'!G12</f>
        <v>2</v>
      </c>
      <c r="E12" s="5">
        <f>D12*'R Exhibit 2.3 Dealer Inputs'!E12</f>
        <v>2026</v>
      </c>
      <c r="F12" s="5">
        <f>'R Exhibit 2.3 Dealer Inputs'!L12</f>
        <v>1428</v>
      </c>
      <c r="G12" s="5">
        <f t="shared" si="0"/>
        <v>3454</v>
      </c>
      <c r="H12" s="5">
        <f t="shared" si="1"/>
        <v>24312</v>
      </c>
      <c r="I12" s="5">
        <f t="shared" si="1"/>
        <v>17136</v>
      </c>
      <c r="J12" s="5">
        <f t="shared" si="1"/>
        <v>41448</v>
      </c>
      <c r="K12" s="5">
        <f>G12*'R Exhibit 2.3 Dealer Inputs'!M12</f>
        <v>207240</v>
      </c>
      <c r="L12" s="17">
        <f>K12/'R Exhibit 2.3 Dealer Inputs'!N12</f>
        <v>230.26666666666668</v>
      </c>
    </row>
    <row r="13" spans="1:12">
      <c r="A13" s="4" t="str">
        <f>'R Exhibit 2.3 Dealer Inputs'!A13</f>
        <v>Excavator / Trackhoe</v>
      </c>
      <c r="B13" s="25" t="str">
        <f>'R Exhibit 2.3 Dealer Inputs'!C13</f>
        <v>Sunbelt</v>
      </c>
      <c r="C13" s="25">
        <f>'R Exhibit 2.3 Dealer Inputs'!B13</f>
        <v>15</v>
      </c>
      <c r="D13" s="25">
        <f>'R Exhibit 2.3 Dealer Inputs'!G13</f>
        <v>2</v>
      </c>
      <c r="E13" s="5">
        <f>D13*'R Exhibit 2.3 Dealer Inputs'!E13</f>
        <v>2250</v>
      </c>
      <c r="F13" s="5">
        <f>'R Exhibit 2.3 Dealer Inputs'!L13</f>
        <v>1642.1999999999998</v>
      </c>
      <c r="G13" s="5">
        <f t="shared" si="0"/>
        <v>3892.2</v>
      </c>
      <c r="H13" s="5">
        <f t="shared" si="1"/>
        <v>27000</v>
      </c>
      <c r="I13" s="5">
        <f t="shared" si="1"/>
        <v>19706.399999999998</v>
      </c>
      <c r="J13" s="5">
        <f t="shared" si="1"/>
        <v>46706.399999999994</v>
      </c>
      <c r="K13" s="5">
        <f>G13*'R Exhibit 2.3 Dealer Inputs'!M13</f>
        <v>233532</v>
      </c>
      <c r="L13" s="17">
        <f>K13/'R Exhibit 2.3 Dealer Inputs'!N13</f>
        <v>259.48</v>
      </c>
    </row>
  </sheetData>
  <mergeCells count="1">
    <mergeCell ref="A5:B5"/>
  </mergeCells>
  <pageMargins left="0.7" right="0.7" top="0.75" bottom="0.75" header="0.3" footer="0.3"/>
  <pageSetup orientation="landscape" horizontalDpi="0" verticalDpi="0" r:id="rId1"/>
  <headerFooter>
    <oddHeader>&amp;RRebuttal Exhibit 2.4
&amp;P of &amp;N
&amp;D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showGridLines="0" workbookViewId="0">
      <selection activeCell="B2" sqref="B2"/>
    </sheetView>
  </sheetViews>
  <sheetFormatPr defaultRowHeight="14.25"/>
  <cols>
    <col min="1" max="1" width="23" customWidth="1"/>
    <col min="2" max="2" width="42" customWidth="1"/>
    <col min="3" max="3" width="20" customWidth="1"/>
    <col min="4" max="4" width="18" customWidth="1"/>
    <col min="5" max="5" width="38" customWidth="1"/>
    <col min="6" max="6" width="44" customWidth="1"/>
  </cols>
  <sheetData>
    <row r="1" spans="1:6">
      <c r="A1" t="s">
        <v>172</v>
      </c>
    </row>
    <row r="2" spans="1:6">
      <c r="A2" t="s">
        <v>173</v>
      </c>
    </row>
    <row r="3" spans="1:6">
      <c r="A3" t="s">
        <v>174</v>
      </c>
    </row>
    <row r="4" spans="1:6" ht="80.099999999999994" customHeight="1">
      <c r="A4" s="34" t="s">
        <v>109</v>
      </c>
      <c r="B4" s="1"/>
      <c r="C4" s="1"/>
      <c r="D4" s="1"/>
      <c r="E4" s="1"/>
      <c r="F4" s="1"/>
    </row>
    <row r="5" spans="1:6">
      <c r="A5" s="4"/>
      <c r="B5" s="4"/>
      <c r="C5" s="4"/>
      <c r="D5" s="4"/>
      <c r="E5" s="4"/>
      <c r="F5" s="4"/>
    </row>
    <row r="6" spans="1:6" ht="33.950000000000003" customHeight="1">
      <c r="A6" s="2" t="s">
        <v>110</v>
      </c>
      <c r="B6" s="2" t="s">
        <v>111</v>
      </c>
      <c r="C6" s="2" t="s">
        <v>112</v>
      </c>
      <c r="D6" s="2" t="s">
        <v>113</v>
      </c>
      <c r="E6" s="2" t="s">
        <v>114</v>
      </c>
      <c r="F6" s="2" t="s">
        <v>115</v>
      </c>
    </row>
    <row r="7" spans="1:6">
      <c r="A7" s="6" t="s">
        <v>116</v>
      </c>
      <c r="B7" s="6" t="s">
        <v>117</v>
      </c>
      <c r="C7" s="6" t="s">
        <v>118</v>
      </c>
      <c r="D7" s="6" t="s">
        <v>119</v>
      </c>
      <c r="E7" s="6" t="s">
        <v>120</v>
      </c>
      <c r="F7" s="6" t="s">
        <v>121</v>
      </c>
    </row>
    <row r="8" spans="1:6">
      <c r="A8" s="6" t="s">
        <v>122</v>
      </c>
      <c r="B8" s="6" t="s">
        <v>123</v>
      </c>
      <c r="C8" s="6" t="s">
        <v>124</v>
      </c>
      <c r="D8" s="6" t="s">
        <v>125</v>
      </c>
      <c r="E8" s="6" t="s">
        <v>126</v>
      </c>
      <c r="F8" s="6" t="s">
        <v>127</v>
      </c>
    </row>
    <row r="9" spans="1:6">
      <c r="A9" s="6" t="s">
        <v>53</v>
      </c>
      <c r="B9" s="6" t="s">
        <v>128</v>
      </c>
      <c r="C9" s="6" t="s">
        <v>129</v>
      </c>
      <c r="D9" s="6" t="s">
        <v>125</v>
      </c>
      <c r="E9" s="6" t="s">
        <v>130</v>
      </c>
      <c r="F9" s="6" t="s">
        <v>131</v>
      </c>
    </row>
    <row r="10" spans="1:6">
      <c r="A10" s="6" t="s">
        <v>132</v>
      </c>
      <c r="B10" s="6" t="s">
        <v>133</v>
      </c>
      <c r="C10" s="6" t="s">
        <v>134</v>
      </c>
      <c r="D10" s="6" t="s">
        <v>135</v>
      </c>
      <c r="E10" s="6" t="s">
        <v>136</v>
      </c>
      <c r="F10" s="6" t="s">
        <v>137</v>
      </c>
    </row>
    <row r="11" spans="1:6">
      <c r="A11" s="6" t="s">
        <v>138</v>
      </c>
      <c r="B11" s="6" t="s">
        <v>139</v>
      </c>
      <c r="C11" s="6" t="s">
        <v>140</v>
      </c>
      <c r="D11" s="6" t="s">
        <v>141</v>
      </c>
      <c r="E11" s="6" t="s">
        <v>142</v>
      </c>
      <c r="F11" s="6" t="s">
        <v>143</v>
      </c>
    </row>
    <row r="12" spans="1:6">
      <c r="A12" s="6" t="s">
        <v>144</v>
      </c>
      <c r="B12" s="6">
        <v>70</v>
      </c>
      <c r="C12" s="6" t="s">
        <v>145</v>
      </c>
      <c r="D12" s="6" t="s">
        <v>135</v>
      </c>
      <c r="E12" s="6" t="s">
        <v>136</v>
      </c>
      <c r="F12" s="6" t="s">
        <v>146</v>
      </c>
    </row>
    <row r="13" spans="1:6">
      <c r="A13" s="6" t="s">
        <v>147</v>
      </c>
      <c r="B13" s="6" t="s">
        <v>148</v>
      </c>
      <c r="C13" s="6" t="s">
        <v>149</v>
      </c>
      <c r="D13" s="6" t="s">
        <v>150</v>
      </c>
      <c r="E13" s="6" t="s">
        <v>151</v>
      </c>
      <c r="F13" s="6" t="s">
        <v>152</v>
      </c>
    </row>
    <row r="14" spans="1:6">
      <c r="A14" s="6" t="s">
        <v>153</v>
      </c>
      <c r="B14" s="6" t="s">
        <v>154</v>
      </c>
      <c r="C14" s="6" t="s">
        <v>155</v>
      </c>
      <c r="D14" s="6" t="s">
        <v>156</v>
      </c>
      <c r="E14" s="6" t="s">
        <v>157</v>
      </c>
      <c r="F14" s="6" t="s">
        <v>158</v>
      </c>
    </row>
    <row r="15" spans="1:6" ht="28.5">
      <c r="A15" s="6" t="s">
        <v>159</v>
      </c>
      <c r="B15" s="6" t="s">
        <v>160</v>
      </c>
      <c r="C15" s="6" t="s">
        <v>161</v>
      </c>
      <c r="D15" s="6" t="s">
        <v>162</v>
      </c>
      <c r="E15" s="6" t="s">
        <v>163</v>
      </c>
      <c r="F15" s="6" t="s">
        <v>164</v>
      </c>
    </row>
    <row r="16" spans="1:6">
      <c r="A16" s="6" t="s">
        <v>165</v>
      </c>
      <c r="B16" s="6" t="s">
        <v>166</v>
      </c>
      <c r="C16" s="6" t="s">
        <v>167</v>
      </c>
      <c r="D16" s="6" t="s">
        <v>168</v>
      </c>
      <c r="E16" s="6" t="s">
        <v>169</v>
      </c>
      <c r="F16" s="6" t="s">
        <v>170</v>
      </c>
    </row>
  </sheetData>
  <pageMargins left="0.7" right="0.7" top="0.75" bottom="0.75" header="0.3" footer="0.3"/>
  <pageSetup orientation="landscape" horizontalDpi="0" verticalDpi="0" r:id="rId1"/>
  <headerFooter>
    <oddHeader>&amp;RRebuttal Exhibit 2.5
&amp;P of &amp;N
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R Exhibit 2.1 Annual Comparison</vt:lpstr>
      <vt:lpstr>R Exhibit 2.2 iMoneyTools Lease</vt:lpstr>
      <vt:lpstr>R Exhibit 2.3 Dealer Inputs</vt:lpstr>
      <vt:lpstr>R Exhibit 2.4 Dealer Analysis</vt:lpstr>
      <vt:lpstr>R Exhibit 2.5 Sources &amp; Checks</vt:lpstr>
      <vt:lpstr>'R Exhibit 2.1 Annual Comparison'!Print_Area</vt:lpstr>
      <vt:lpstr>'R Exhibit 2.2 iMoneyTools Lease'!Print_Area</vt:lpstr>
      <vt:lpstr>'R Exhibit 2.3 Dealer Inputs'!Print_Area</vt:lpstr>
      <vt:lpstr>'R Exhibit 2.4 Dealer Analysis'!Print_Area</vt:lpstr>
      <vt:lpstr>'R Exhibit 2.5 Sources &amp; Checks'!Print_Area</vt:lpstr>
      <vt:lpstr>'R Exhibit 2.3 Dealer Inputs'!Print_Titles</vt:lpstr>
      <vt:lpstr>'R Exhibit 2.4 Dealer Analysis'!Print_Titles</vt:lpstr>
      <vt:lpstr>'R Exhibit 2.5 Sources &amp; Checks'!Print_Titles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Nass</dc:creator>
  <cp:lastModifiedBy>Fred Nass</cp:lastModifiedBy>
  <cp:lastPrinted>2026-10-05T17:19:36Z</cp:lastPrinted>
  <dcterms:created xsi:type="dcterms:W3CDTF">2026-09-30T20:17:31Z</dcterms:created>
  <dcterms:modified xsi:type="dcterms:W3CDTF">2026-10-07T15:03:28Z</dcterms:modified>
</cp:coreProperties>
</file>