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Water Pro\093-24-01 Task 05 2025 PSC Culinary Rate Case Application\2025-06-XX Main Application\Appendix\Appendpix O - Accounting Codes\"/>
    </mc:Choice>
  </mc:AlternateContent>
  <xr:revisionPtr revIDLastSave="0" documentId="8_{DF6BC928-AD17-4F7F-ACA3-5E30A6A83E06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Account Group Details" sheetId="1" r:id="rId1"/>
    <sheet name="Parameter" sheetId="5" state="hidden" r:id="rId2"/>
    <sheet name="Tickmarks" sheetId="2" r:id="rId3"/>
    <sheet name="CustomSheet1" sheetId="3" r:id="rId4"/>
    <sheet name="CustomSheet2" sheetId="4" r:id="rId5"/>
  </sheets>
  <externalReferences>
    <externalReference r:id="rId6"/>
  </externalReferences>
  <definedNames>
    <definedName name="AS2DocOpenMode" hidden="1">"AS2DocumentEdit"</definedName>
    <definedName name="_xlnm.Print_Area" localSheetId="0">'Account Group Details'!$A$1:$Q$1149</definedName>
    <definedName name="_xlnm.Print_Area">Tickmarks!$A$1:$H$5</definedName>
    <definedName name="Tickmark_a">Tickmarks!$A$3</definedName>
    <definedName name="Tickmark_b">Tickmarks!$A$6</definedName>
    <definedName name="Tickmark_c">Tickmarks!$A$9</definedName>
    <definedName name="Tickmark_d">Tickmarks!$A$12</definedName>
    <definedName name="Tickmark_e">Tickmarks!$A$15</definedName>
    <definedName name="Tickmark_f">Tickmarks!$A$18</definedName>
    <definedName name="Tickmark_g">Tickmarks!$A$21</definedName>
    <definedName name="Tickmark_h">Tickmarks!$A$24</definedName>
    <definedName name="Tickmark_i">Tickmarks!$A$27</definedName>
    <definedName name="Tickmark_j">Tickmarks!$A$30</definedName>
    <definedName name="Tickmark_k">Tickmarks!$A$33</definedName>
    <definedName name="Tickmark_l">Tickmarks!$A$36</definedName>
    <definedName name="Tickmark_m">Tickmarks!$A$39</definedName>
    <definedName name="Tickmark_n">Tickmarks!$A$42</definedName>
    <definedName name="Tickmark_o">Tickmarks!$A$45</definedName>
    <definedName name="Tickmark_p">Tickmarks!$A$48</definedName>
    <definedName name="Tickmark_q">Tickmarks!$A$51</definedName>
    <definedName name="Tickmark_r">Tickmarks!$A$54</definedName>
    <definedName name="Tickmark_s">Tickmarks!$A$57</definedName>
    <definedName name="Tickmark_t">Tickmarks!$A$60</definedName>
    <definedName name="Tickmark_u">Tickmarks!$A$63</definedName>
    <definedName name="Tickmark_v">Tickmarks!$A$66</definedName>
    <definedName name="Tickmark_w">Tickmarks!$A$69</definedName>
    <definedName name="Tickmark_x">Tickmarks!$A$72</definedName>
    <definedName name="Tickmark_y">Tickmarks!$A$75</definedName>
    <definedName name="Tickmark_z">Tickmarks!$A$78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07" i="1" l="1"/>
  <c r="U406" i="1"/>
  <c r="V407" i="1"/>
  <c r="V406" i="1"/>
  <c r="U404" i="1"/>
  <c r="V397" i="1" l="1"/>
  <c r="V968" i="1"/>
  <c r="V875" i="1"/>
  <c r="V849" i="1"/>
  <c r="V847" i="1"/>
  <c r="V846" i="1"/>
  <c r="V845" i="1"/>
  <c r="V844" i="1"/>
  <c r="V843" i="1"/>
  <c r="V837" i="1"/>
  <c r="V832" i="1"/>
  <c r="V828" i="1"/>
  <c r="V826" i="1"/>
  <c r="V770" i="1"/>
  <c r="V702" i="1"/>
  <c r="V610" i="1" l="1"/>
  <c r="V463" i="1"/>
  <c r="V354" i="1"/>
  <c r="V69" i="1"/>
  <c r="S68" i="1"/>
  <c r="S525" i="1"/>
  <c r="S135" i="1"/>
  <c r="S187" i="1"/>
  <c r="S915" i="1"/>
  <c r="S266" i="1"/>
  <c r="S373" i="1"/>
  <c r="S1069" i="1"/>
  <c r="S141" i="1"/>
  <c r="S887" i="1"/>
  <c r="S211" i="1"/>
  <c r="S57" i="1"/>
  <c r="S1123" i="1"/>
  <c r="S412" i="1"/>
  <c r="S172" i="1"/>
  <c r="S83" i="1"/>
  <c r="S123" i="1"/>
  <c r="S301" i="1"/>
  <c r="S890" i="1"/>
  <c r="S627" i="1"/>
  <c r="S942" i="1"/>
  <c r="S322" i="1"/>
  <c r="S906" i="1"/>
  <c r="S104" i="1"/>
  <c r="S305" i="1"/>
  <c r="S677" i="1"/>
  <c r="S406" i="1"/>
  <c r="S325" i="1"/>
  <c r="S610" i="1"/>
  <c r="S644" i="1"/>
  <c r="S597" i="1"/>
  <c r="S21" i="1"/>
  <c r="S568" i="1"/>
  <c r="S513" i="1"/>
  <c r="S974" i="1"/>
  <c r="S155" i="1"/>
  <c r="S795" i="1"/>
  <c r="S855" i="1"/>
  <c r="S747" i="1"/>
  <c r="S967" i="1"/>
  <c r="S633" i="1"/>
  <c r="S779" i="1"/>
  <c r="S500" i="1"/>
  <c r="S242" i="1"/>
  <c r="S384" i="1"/>
  <c r="S430" i="1"/>
  <c r="S116" i="1"/>
  <c r="S91" i="1"/>
  <c r="S881" i="1"/>
  <c r="S142" i="1"/>
  <c r="S662" i="1"/>
  <c r="S167" i="1"/>
  <c r="S854" i="1"/>
  <c r="S923" i="1"/>
  <c r="S951" i="1"/>
  <c r="S335" i="1"/>
  <c r="S811" i="1"/>
  <c r="S26" i="1"/>
  <c r="S605" i="1"/>
  <c r="S1018" i="1"/>
  <c r="S840" i="1"/>
  <c r="S44" i="1"/>
  <c r="S949" i="1"/>
  <c r="S631" i="1"/>
  <c r="S413" i="1"/>
  <c r="S907" i="1"/>
  <c r="S385" i="1"/>
  <c r="S336" i="1"/>
  <c r="S402" i="1"/>
  <c r="S173" i="1"/>
  <c r="S964" i="1"/>
  <c r="S213" i="1"/>
  <c r="S417" i="1"/>
  <c r="S997" i="1"/>
  <c r="S491" i="1"/>
  <c r="S931" i="1"/>
  <c r="S492" i="1"/>
  <c r="S1137" i="1"/>
  <c r="S299" i="1"/>
  <c r="S986" i="1"/>
  <c r="S846" i="1"/>
  <c r="S259" i="1"/>
  <c r="S252" i="1"/>
  <c r="S37" i="1"/>
  <c r="S274" i="1"/>
  <c r="S109" i="1"/>
  <c r="S484" i="1"/>
  <c r="S661" i="1"/>
  <c r="S25" i="1"/>
  <c r="S292" i="1"/>
  <c r="S390" i="1"/>
  <c r="S391" i="1"/>
  <c r="S638" i="1"/>
  <c r="S428" i="1"/>
  <c r="S900" i="1"/>
  <c r="S199" i="1"/>
  <c r="S506" i="1"/>
  <c r="S645" i="1"/>
  <c r="S968" i="1"/>
  <c r="S488" i="1"/>
  <c r="S860" i="1"/>
  <c r="S414" i="1"/>
  <c r="S87" i="1"/>
  <c r="S1098" i="1"/>
  <c r="S405" i="1"/>
  <c r="S94" i="1"/>
  <c r="S133" i="1"/>
  <c r="S496" i="1"/>
  <c r="S1022" i="1"/>
  <c r="S278" i="1"/>
  <c r="S455" i="1"/>
  <c r="S912" i="1"/>
  <c r="S205" i="1"/>
  <c r="S38" i="1"/>
  <c r="S346" i="1"/>
  <c r="S392" i="1"/>
  <c r="S940" i="1"/>
  <c r="S467" i="1"/>
  <c r="S575" i="1"/>
  <c r="S778" i="1"/>
  <c r="S20" i="1"/>
  <c r="S711" i="1"/>
  <c r="S801" i="1"/>
  <c r="S212" i="1"/>
  <c r="S697" i="1"/>
  <c r="S507" i="1"/>
  <c r="S1145" i="1"/>
  <c r="S1136" i="1"/>
  <c r="S285" i="1"/>
  <c r="S1109" i="1"/>
  <c r="S878" i="1"/>
  <c r="S787" i="1"/>
  <c r="S667" i="1"/>
  <c r="S449" i="1"/>
  <c r="S950" i="1"/>
  <c r="S589" i="1"/>
  <c r="S1103" i="1"/>
  <c r="S688" i="1"/>
  <c r="S419" i="1"/>
  <c r="S371" i="1"/>
  <c r="S1048" i="1"/>
  <c r="S874" i="1"/>
  <c r="S374" i="1"/>
  <c r="S816" i="1"/>
  <c r="S315" i="1"/>
  <c r="S111" i="1"/>
  <c r="S88" i="1"/>
  <c r="S602" i="1"/>
  <c r="S56" i="1"/>
  <c r="S191" i="1"/>
  <c r="S624" i="1"/>
  <c r="S862" i="1"/>
  <c r="S802" i="1"/>
  <c r="S864" i="1"/>
  <c r="S156" i="1"/>
  <c r="S399" i="1"/>
  <c r="S368" i="1"/>
  <c r="S938" i="1"/>
  <c r="S298" i="1"/>
  <c r="S672" i="1"/>
  <c r="S260" i="1"/>
  <c r="S227" i="1"/>
  <c r="S763" i="1"/>
  <c r="S656" i="1"/>
  <c r="S18" i="1"/>
  <c r="S1072" i="1"/>
  <c r="S963" i="1"/>
  <c r="S958" i="1"/>
  <c r="S62" i="1"/>
  <c r="S626" i="1"/>
  <c r="S850" i="1"/>
  <c r="S683" i="1"/>
  <c r="S723" i="1"/>
  <c r="S817" i="1"/>
  <c r="S27" i="1"/>
  <c r="S985" i="1"/>
  <c r="S204" i="1"/>
  <c r="S558" i="1"/>
  <c r="S407" i="1"/>
  <c r="S386" i="1"/>
  <c r="S721" i="1"/>
  <c r="S43" i="1"/>
  <c r="S652" i="1"/>
  <c r="S48" i="1"/>
  <c r="S302" i="1"/>
  <c r="S893" i="1"/>
  <c r="S485" i="1"/>
  <c r="S1032" i="1"/>
  <c r="S621" i="1"/>
  <c r="S181" i="1"/>
  <c r="S818" i="1"/>
  <c r="S393" i="1"/>
  <c r="S1122" i="1"/>
  <c r="S121" i="1"/>
  <c r="S843" i="1"/>
  <c r="S166" i="1"/>
  <c r="S228" i="1"/>
  <c r="S287" i="1"/>
  <c r="S524" i="1"/>
  <c r="S1035" i="1"/>
  <c r="S1090" i="1"/>
  <c r="S102" i="1"/>
  <c r="S932" i="1"/>
  <c r="S545" i="1"/>
  <c r="S857" i="1"/>
  <c r="S873" i="1"/>
  <c r="S241" i="1"/>
  <c r="S236" i="1"/>
  <c r="S1030" i="1"/>
  <c r="S114" i="1"/>
  <c r="S542" i="1"/>
  <c r="S40" i="1"/>
  <c r="S321" i="1"/>
  <c r="S544" i="1"/>
  <c r="S620" i="1"/>
  <c r="S93" i="1"/>
  <c r="S396" i="1"/>
  <c r="S810" i="1"/>
  <c r="S82" i="1"/>
  <c r="S303" i="1"/>
  <c r="S452" i="1"/>
  <c r="S800" i="1"/>
  <c r="S424" i="1"/>
  <c r="S1078" i="1"/>
  <c r="S844" i="1"/>
  <c r="S189" i="1"/>
  <c r="S896" i="1"/>
  <c r="S774" i="1"/>
  <c r="S1120" i="1"/>
  <c r="S748" i="1"/>
  <c r="S1065" i="1"/>
  <c r="S1024" i="1"/>
  <c r="S494" i="1"/>
  <c r="S137" i="1"/>
  <c r="S1104" i="1"/>
  <c r="S437" i="1"/>
  <c r="S665" i="1"/>
  <c r="S866" i="1"/>
  <c r="S660" i="1"/>
  <c r="S920" i="1"/>
  <c r="F1" i="1"/>
  <c r="S975" i="1"/>
  <c r="S837" i="1"/>
  <c r="S990" i="1"/>
  <c r="S903" i="1"/>
  <c r="S78" i="1"/>
  <c r="S331" i="1"/>
  <c r="S268" i="1"/>
  <c r="S789" i="1"/>
  <c r="S822" i="1"/>
  <c r="S1128" i="1"/>
  <c r="S397" i="1"/>
  <c r="S195" i="1"/>
  <c r="S45" i="1"/>
  <c r="S808" i="1"/>
  <c r="S192" i="1"/>
  <c r="S924" i="1"/>
  <c r="S99" i="1"/>
  <c r="S753" i="1"/>
  <c r="S584" i="1"/>
  <c r="S186" i="1"/>
  <c r="S1002" i="1"/>
  <c r="S218" i="1"/>
  <c r="S555" i="1"/>
  <c r="S29" i="1"/>
  <c r="S870" i="1"/>
  <c r="S341" i="1"/>
  <c r="S702" i="1"/>
  <c r="S730" i="1"/>
  <c r="S898" i="1"/>
  <c r="S447" i="1"/>
  <c r="S670" i="1"/>
  <c r="S1146" i="1"/>
  <c r="S518" i="1"/>
  <c r="S782" i="1"/>
  <c r="S991" i="1"/>
  <c r="S803" i="1"/>
  <c r="S910" i="1"/>
  <c r="S355" i="1"/>
  <c r="S805" i="1"/>
  <c r="S503" i="1"/>
  <c r="S132" i="1"/>
  <c r="S1008" i="1"/>
  <c r="S312" i="1"/>
  <c r="S438" i="1"/>
  <c r="S939" i="1"/>
  <c r="S200" i="1"/>
  <c r="S214" i="1"/>
  <c r="S254" i="1"/>
  <c r="S19" i="1"/>
  <c r="S877" i="1"/>
  <c r="S240" i="1"/>
  <c r="S561" i="1"/>
  <c r="S872" i="1"/>
  <c r="S791" i="1"/>
  <c r="S707" i="1"/>
  <c r="S69" i="1"/>
  <c r="S501" i="1"/>
  <c r="S52" i="1"/>
  <c r="S239" i="1"/>
  <c r="S937" i="1"/>
  <c r="S639" i="1"/>
  <c r="S1043" i="1"/>
  <c r="S706" i="1"/>
  <c r="S635" i="1"/>
  <c r="S451" i="1"/>
  <c r="S17" i="1"/>
  <c r="S713" i="1"/>
  <c r="S176" i="1"/>
  <c r="S420" i="1"/>
  <c r="S809" i="1"/>
  <c r="S611" i="1"/>
  <c r="S269" i="1"/>
  <c r="S277" i="1"/>
  <c r="S161" i="1"/>
  <c r="S636" i="1"/>
  <c r="S300" i="1"/>
  <c r="S361" i="1"/>
  <c r="S75" i="1"/>
  <c r="S592" i="1"/>
  <c r="S1073" i="1"/>
  <c r="S450" i="1"/>
  <c r="S81" i="1"/>
  <c r="S42" i="1"/>
  <c r="S998" i="1"/>
  <c r="S1112" i="1"/>
  <c r="S622" i="1"/>
  <c r="S72" i="1"/>
  <c r="S1091" i="1"/>
  <c r="S1124" i="1"/>
  <c r="S434" i="1"/>
  <c r="S1142" i="1"/>
  <c r="S756" i="1"/>
  <c r="S50" i="1"/>
  <c r="S1050" i="1"/>
  <c r="S726" i="1"/>
  <c r="S80" i="1"/>
  <c r="S865" i="1"/>
  <c r="S567" i="1"/>
  <c r="S1007" i="1"/>
  <c r="S1025" i="1"/>
  <c r="S1010" i="1"/>
  <c r="S320" i="1"/>
  <c r="S150" i="1"/>
  <c r="S609" i="1"/>
  <c r="S290" i="1"/>
  <c r="S812" i="1"/>
  <c r="S245" i="1"/>
  <c r="S1015" i="1"/>
  <c r="S682" i="1"/>
  <c r="S1061" i="1"/>
  <c r="S282" i="1"/>
  <c r="S144" i="1"/>
  <c r="S573" i="1"/>
  <c r="S1083" i="1"/>
  <c r="S510" i="1"/>
  <c r="S581" i="1"/>
  <c r="S883" i="1"/>
  <c r="S522" i="1"/>
  <c r="S945" i="1"/>
  <c r="S947" i="1"/>
  <c r="S727" i="1"/>
  <c r="S209" i="1"/>
  <c r="S1079" i="1"/>
  <c r="S468" i="1"/>
  <c r="S504" i="1"/>
  <c r="S744" i="1"/>
  <c r="S314" i="1"/>
  <c r="S641" i="1"/>
  <c r="S309" i="1"/>
  <c r="S519" i="1"/>
  <c r="S851" i="1"/>
  <c r="S46" i="1"/>
  <c r="S1132" i="1"/>
  <c r="S928" i="1"/>
  <c r="S442" i="1"/>
  <c r="S436" i="1"/>
  <c r="S126" i="1"/>
  <c r="S515" i="1"/>
  <c r="S284" i="1"/>
  <c r="S768" i="1"/>
  <c r="S733" i="1"/>
  <c r="S612" i="1"/>
  <c r="S311" i="1"/>
  <c r="S745" i="1"/>
  <c r="S22" i="1"/>
  <c r="S788" i="1"/>
  <c r="S464" i="1"/>
  <c r="S297" i="1"/>
  <c r="S698" i="1"/>
  <c r="S1067" i="1"/>
  <c r="S814" i="1"/>
  <c r="S86" i="1"/>
  <c r="S1019" i="1"/>
  <c r="S888" i="1"/>
  <c r="S130" i="1"/>
  <c r="S876" i="1"/>
  <c r="S1111" i="1"/>
  <c r="S953" i="1"/>
  <c r="S220" i="1"/>
  <c r="S922" i="1"/>
  <c r="S875" i="1"/>
  <c r="S868" i="1"/>
  <c r="S270" i="1"/>
  <c r="S899" i="1"/>
  <c r="S272" i="1"/>
  <c r="S134" i="1"/>
  <c r="S334" i="1"/>
  <c r="S618" i="1"/>
  <c r="S637" i="1"/>
  <c r="S139" i="1"/>
  <c r="S909" i="1"/>
  <c r="S807" i="1"/>
  <c r="S972" i="1"/>
  <c r="S671" i="1"/>
  <c r="S480" i="1"/>
  <c r="S313" i="1"/>
  <c r="S634" i="1"/>
  <c r="S1066" i="1"/>
  <c r="S934" i="1"/>
  <c r="S977" i="1"/>
  <c r="S979" i="1"/>
  <c r="S1093" i="1"/>
  <c r="S925" i="1"/>
  <c r="S1107" i="1"/>
  <c r="S828" i="1"/>
  <c r="S541" i="1"/>
  <c r="S16" i="1"/>
  <c r="S327" i="1"/>
  <c r="S160" i="1"/>
  <c r="S185" i="1"/>
  <c r="S649" i="1"/>
  <c r="S770" i="1"/>
  <c r="S479" i="1"/>
  <c r="S960" i="1"/>
  <c r="S387" i="1"/>
  <c r="S1064" i="1"/>
  <c r="S98" i="1"/>
  <c r="S1056" i="1"/>
  <c r="S701" i="1"/>
  <c r="S1042" i="1"/>
  <c r="S28" i="1"/>
  <c r="S980" i="1"/>
  <c r="S509" i="1"/>
  <c r="S1086" i="1"/>
  <c r="S686" i="1"/>
  <c r="S776" i="1"/>
  <c r="S871" i="1"/>
  <c r="S821" i="1"/>
  <c r="S1053" i="1"/>
  <c r="S1121" i="1"/>
  <c r="S14" i="1"/>
  <c r="S1075" i="1"/>
  <c r="S168" i="1"/>
  <c r="S839" i="1"/>
  <c r="S238" i="1"/>
  <c r="S970" i="1"/>
  <c r="S512" i="1"/>
  <c r="S1101" i="1"/>
  <c r="S293" i="1"/>
  <c r="S143" i="1"/>
  <c r="S946" i="1"/>
  <c r="S815" i="1"/>
  <c r="S1057" i="1"/>
  <c r="S765" i="1"/>
  <c r="S1100" i="1"/>
  <c r="S905" i="1"/>
  <c r="S794" i="1"/>
  <c r="S128" i="1"/>
  <c r="S914" i="1"/>
  <c r="S49" i="1"/>
  <c r="S106" i="1"/>
  <c r="S892" i="1"/>
  <c r="S820" i="1"/>
  <c r="S454" i="1"/>
  <c r="S223" i="1"/>
  <c r="S353" i="1"/>
  <c r="S190" i="1"/>
  <c r="S614" i="1"/>
  <c r="S827" i="1"/>
  <c r="S459" i="1"/>
  <c r="S826" i="1"/>
  <c r="S196" i="1"/>
  <c r="S845" i="1"/>
  <c r="S178" i="1"/>
  <c r="S798" i="1"/>
  <c r="S251" i="1"/>
  <c r="S117" i="1"/>
  <c r="S760" i="1"/>
  <c r="S279" i="1"/>
  <c r="S712" i="1"/>
  <c r="S521" i="1"/>
  <c r="S237" i="1"/>
  <c r="S543" i="1"/>
  <c r="S310" i="1"/>
  <c r="S835" i="1"/>
  <c r="S294" i="1"/>
  <c r="S1026" i="1"/>
  <c r="S1135" i="1"/>
  <c r="S323" i="1"/>
  <c r="S369" i="1"/>
  <c r="S345" i="1"/>
  <c r="S993" i="1"/>
  <c r="S879" i="1"/>
  <c r="S551" i="1"/>
  <c r="S47" i="1"/>
  <c r="S630" i="1"/>
  <c r="S497" i="1"/>
  <c r="S258" i="1"/>
  <c r="S927" i="1"/>
  <c r="S806" i="1"/>
  <c r="S175" i="1"/>
  <c r="S453" i="1"/>
  <c r="S1005" i="1"/>
  <c r="S1118" i="1"/>
  <c r="S188" i="1"/>
  <c r="S961" i="1"/>
  <c r="S832" i="1"/>
  <c r="S959" i="1"/>
  <c r="S790" i="1"/>
  <c r="F3" i="1"/>
  <c r="S440" i="1"/>
  <c r="S271" i="1"/>
  <c r="S333" i="1"/>
  <c r="S957" i="1"/>
  <c r="S136" i="1"/>
  <c r="S895" i="1"/>
  <c r="S357" i="1"/>
  <c r="S681" i="1"/>
  <c r="S804" i="1"/>
  <c r="S786" i="1"/>
  <c r="S739" i="1"/>
  <c r="S861" i="1"/>
  <c r="S66" i="1"/>
  <c r="S691" i="1"/>
  <c r="S1028" i="1"/>
  <c r="S523" i="1"/>
  <c r="S409" i="1"/>
  <c r="S138" i="1"/>
  <c r="S930" i="1"/>
  <c r="S317" i="1"/>
  <c r="S587" i="1"/>
  <c r="S650" i="1"/>
  <c r="S625" i="1"/>
  <c r="S108" i="1"/>
  <c r="S348" i="1"/>
  <c r="S799" i="1"/>
  <c r="S107" i="1"/>
  <c r="S918" i="1"/>
  <c r="S92" i="1"/>
  <c r="S777" i="1"/>
  <c r="S813" i="1"/>
  <c r="S380" i="1"/>
  <c r="S572" i="1"/>
  <c r="S180" i="1"/>
  <c r="S472" i="1"/>
  <c r="S53" i="1"/>
  <c r="S574" i="1"/>
  <c r="S746" i="1"/>
  <c r="S1117" i="1"/>
  <c r="S904" i="1"/>
  <c r="S773" i="1"/>
  <c r="S751" i="1"/>
  <c r="S741" i="1"/>
  <c r="S654" i="1"/>
  <c r="S675" i="1"/>
  <c r="S147" i="1"/>
  <c r="S481" i="1"/>
  <c r="S882" i="1"/>
  <c r="S548" i="1"/>
  <c r="S416" i="1"/>
  <c r="S557" i="1"/>
  <c r="S256" i="1"/>
  <c r="S784" i="1"/>
  <c r="S151" i="1"/>
  <c r="S1013" i="1"/>
  <c r="S708" i="1"/>
  <c r="S295" i="1"/>
  <c r="S842" i="1"/>
  <c r="S276" i="1"/>
  <c r="S394" i="1"/>
  <c r="S693" i="1"/>
  <c r="S79" i="1"/>
  <c r="S469" i="1"/>
  <c r="S1096" i="1"/>
  <c r="F2" i="1"/>
  <c r="S886" i="1"/>
  <c r="S398" i="1"/>
  <c r="S124" i="1"/>
  <c r="S678" i="1"/>
  <c r="S537" i="1"/>
  <c r="S754" i="1"/>
  <c r="S326" i="1"/>
  <c r="S994" i="1"/>
  <c r="S830" i="1"/>
  <c r="S988" i="1"/>
  <c r="S476" i="1"/>
  <c r="S328" i="1"/>
  <c r="S131" i="1"/>
  <c r="S458" i="1"/>
  <c r="S725" i="1"/>
  <c r="S359" i="1"/>
  <c r="S952" i="1"/>
  <c r="S762" i="1"/>
  <c r="S115" i="1"/>
  <c r="S247" i="1"/>
  <c r="S1141" i="1"/>
  <c r="S728" i="1"/>
  <c r="S332" i="1"/>
  <c r="S1041" i="1"/>
  <c r="S182" i="1"/>
  <c r="S388" i="1"/>
  <c r="S948" i="1"/>
  <c r="S304" i="1"/>
  <c r="S720" i="1"/>
  <c r="S120" i="1"/>
  <c r="S834" i="1"/>
  <c r="S1000" i="1"/>
  <c r="S486" i="1"/>
  <c r="S463" i="1"/>
  <c r="S653" i="1"/>
  <c r="S1046" i="1"/>
  <c r="S31" i="1"/>
  <c r="S354" i="1"/>
  <c r="S880" i="1"/>
  <c r="S340" i="1"/>
  <c r="S1088" i="1"/>
  <c r="S743" i="1"/>
  <c r="S1102" i="1"/>
  <c r="S718" i="1"/>
  <c r="S1060" i="1"/>
  <c r="S989" i="1"/>
  <c r="S911" i="1"/>
  <c r="S913" i="1"/>
  <c r="S623" i="1"/>
  <c r="S219" i="1"/>
  <c r="S97" i="1"/>
  <c r="S495" i="1"/>
  <c r="S536" i="1"/>
  <c r="S995" i="1"/>
  <c r="S15" i="1"/>
  <c r="S646" i="1"/>
  <c r="S1049" i="1"/>
  <c r="S740" i="1"/>
  <c r="S34" i="1"/>
  <c r="S983" i="1"/>
  <c r="S378" i="1"/>
  <c r="S885" i="1"/>
  <c r="S999" i="1"/>
  <c r="S146" i="1"/>
  <c r="S755" i="1"/>
  <c r="S24" i="1"/>
  <c r="S281" i="1"/>
  <c r="S61" i="1"/>
  <c r="S569" i="1"/>
  <c r="S257" i="1"/>
  <c r="S165" i="1"/>
  <c r="S33" i="1"/>
  <c r="S296" i="1"/>
  <c r="S556" i="1"/>
  <c r="S680" i="1"/>
  <c r="S628" i="1"/>
  <c r="S1081" i="1"/>
  <c r="S987" i="1"/>
  <c r="S889" i="1"/>
  <c r="S1031" i="1"/>
  <c r="S520" i="1"/>
  <c r="S901" i="1"/>
  <c r="S110" i="1"/>
  <c r="S383" i="1"/>
  <c r="S601" i="1"/>
  <c r="S502" i="1"/>
  <c r="S894" i="1"/>
  <c r="S183" i="1"/>
  <c r="S766" i="1"/>
  <c r="S771" i="1"/>
  <c r="S549" i="1"/>
  <c r="S565" i="1"/>
  <c r="S869" i="1"/>
  <c r="S583" i="1"/>
  <c r="S847" i="1"/>
  <c r="S1095" i="1"/>
  <c r="S280" i="1"/>
  <c r="S1070" i="1"/>
  <c r="S679" i="1"/>
  <c r="S1119" i="1"/>
  <c r="S954" i="1"/>
  <c r="S217" i="1"/>
  <c r="S793" i="1"/>
  <c r="S734" i="1"/>
  <c r="S36" i="1"/>
  <c r="S224" i="1"/>
  <c r="S1140" i="1"/>
  <c r="S577" i="1"/>
  <c r="S941" i="1"/>
  <c r="S528" i="1"/>
  <c r="S797" i="1"/>
  <c r="S579" i="1"/>
  <c r="S530" i="1"/>
  <c r="S902" i="1"/>
  <c r="S775" i="1"/>
  <c r="S23" i="1"/>
  <c r="S783" i="1"/>
  <c r="S659" i="1"/>
  <c r="S1125" i="1"/>
  <c r="S235" i="1"/>
  <c r="S404" i="1"/>
  <c r="S73" i="1"/>
  <c r="S761" i="1"/>
  <c r="S992" i="1"/>
  <c r="S532" i="1"/>
  <c r="S431" i="1"/>
  <c r="S916" i="1"/>
  <c r="S32" i="1"/>
  <c r="S792" i="1"/>
  <c r="S505" i="1"/>
  <c r="S965" i="1"/>
  <c r="S738" i="1"/>
  <c r="S676" i="1"/>
  <c r="S1054" i="1"/>
  <c r="S1020" i="1"/>
  <c r="S232" i="1"/>
  <c r="S576" i="1"/>
  <c r="S118" i="1"/>
  <c r="S976" i="1"/>
  <c r="S84" i="1"/>
  <c r="S140" i="1"/>
  <c r="S617" i="1"/>
  <c r="S1052" i="1"/>
  <c r="S201" i="1"/>
  <c r="S831" i="1"/>
  <c r="S487" i="1"/>
  <c r="S984" i="1"/>
  <c r="S663" i="1"/>
  <c r="S119" i="1"/>
  <c r="S514" i="1"/>
  <c r="S58" i="1"/>
  <c r="F5" i="1"/>
  <c r="S722" i="1"/>
  <c r="S129" i="1"/>
  <c r="S780" i="1"/>
  <c r="S926" i="1"/>
  <c r="S1068" i="1"/>
  <c r="S210" i="1"/>
  <c r="S74" i="1"/>
  <c r="S255" i="1"/>
  <c r="S640" i="1"/>
  <c r="S884" i="1"/>
  <c r="S554" i="1"/>
  <c r="S956" i="1"/>
  <c r="S666" i="1"/>
  <c r="S562" i="1"/>
  <c r="S253" i="1"/>
  <c r="S849" i="1"/>
  <c r="S308" i="1"/>
  <c r="S955" i="1"/>
  <c r="S944" i="1"/>
  <c r="S67" i="1"/>
  <c r="S157" i="1"/>
  <c r="S819" i="1"/>
  <c r="S267" i="1"/>
  <c r="S184" i="1"/>
  <c r="S936" i="1"/>
  <c r="S655" i="1"/>
  <c r="S262" i="1"/>
  <c r="S1126" i="1"/>
  <c r="S1062" i="1"/>
  <c r="S250" i="1"/>
  <c r="S929" i="1"/>
  <c r="S962" i="1"/>
  <c r="S105" i="1"/>
  <c r="S1149" i="1"/>
  <c r="S145" i="1"/>
  <c r="S324" i="1"/>
  <c r="S629" i="1"/>
  <c r="S103" i="1"/>
  <c r="S582" i="1"/>
  <c r="S1011" i="1"/>
  <c r="S288" i="1"/>
  <c r="S714" i="1"/>
  <c r="S39" i="1"/>
  <c r="S856" i="1"/>
  <c r="S316" i="1"/>
  <c r="S1084" i="1"/>
  <c r="S248" i="1"/>
  <c r="S685" i="1"/>
  <c r="S122" i="1"/>
  <c r="S376" i="1"/>
  <c r="S1099" i="1"/>
  <c r="S703" i="1"/>
  <c r="S759" i="1"/>
  <c r="S651" i="1"/>
  <c r="S1038" i="1"/>
  <c r="S125" i="1"/>
  <c r="S174" i="1"/>
  <c r="S606" i="1"/>
  <c r="S1063" i="1"/>
  <c r="S439" i="1"/>
  <c r="S443" i="1"/>
  <c r="S291" i="1"/>
  <c r="S632" i="1"/>
  <c r="S370" i="1"/>
  <c r="S533" i="1"/>
  <c r="S1097" i="1"/>
  <c r="S578" i="1"/>
  <c r="S996" i="1"/>
  <c r="S897" i="1"/>
  <c r="S401" i="1"/>
  <c r="S489" i="1"/>
  <c r="S435" i="1"/>
  <c r="S13" i="1"/>
  <c r="S1051" i="1"/>
  <c r="S516" i="1"/>
  <c r="S933" i="1"/>
  <c r="S127" i="1"/>
  <c r="F4" i="1"/>
  <c r="S908" i="1"/>
  <c r="S717" i="1"/>
  <c r="S30" i="1"/>
  <c r="S169" i="1"/>
  <c r="S1071" i="1"/>
  <c r="S400" i="1"/>
  <c r="S1055" i="1"/>
  <c r="S112" i="1"/>
  <c r="S917" i="1"/>
  <c r="S51" i="1"/>
  <c r="S1077" i="1"/>
  <c r="S619" i="1"/>
  <c r="S1129" i="1"/>
  <c r="S1127" i="1"/>
  <c r="S113" i="1"/>
  <c r="S891" i="1"/>
  <c r="S243" i="1"/>
  <c r="S647" i="1"/>
  <c r="S477" i="1"/>
  <c r="S848" i="1"/>
  <c r="S684" i="1"/>
  <c r="S249" i="1"/>
  <c r="S648" i="1"/>
  <c r="S508" i="1"/>
  <c r="S796" i="1"/>
  <c r="S445" i="1"/>
  <c r="S593" i="1"/>
  <c r="S337" i="1"/>
  <c r="S921" i="1"/>
  <c r="S863" i="1"/>
  <c r="S423" i="1"/>
  <c r="S1114" i="1"/>
  <c r="S379" i="1"/>
  <c r="S599" i="1"/>
  <c r="S785" i="1"/>
  <c r="S935" i="1"/>
  <c r="S177" i="1"/>
  <c r="S403" i="1"/>
  <c r="S85" i="1"/>
  <c r="S696" i="1"/>
  <c r="S781" i="1"/>
  <c r="S41" i="1"/>
  <c r="S823" i="1"/>
  <c r="S600" i="1"/>
  <c r="S410" i="1"/>
  <c r="S867" i="1"/>
  <c r="S919" i="1"/>
  <c r="S978" i="1"/>
  <c r="S35" i="1"/>
  <c r="S498" i="1"/>
</calcChain>
</file>

<file path=xl/sharedStrings.xml><?xml version="1.0" encoding="utf-8"?>
<sst xmlns="http://schemas.openxmlformats.org/spreadsheetml/2006/main" count="3528" uniqueCount="2893">
  <si>
    <t>{z}</t>
  </si>
  <si>
    <t>{y}</t>
  </si>
  <si>
    <t>{x}</t>
  </si>
  <si>
    <t>{w}</t>
  </si>
  <si>
    <t>{v}</t>
  </si>
  <si>
    <t>{u}</t>
  </si>
  <si>
    <t>{t}</t>
  </si>
  <si>
    <t>{s}</t>
  </si>
  <si>
    <t>{r}</t>
  </si>
  <si>
    <t>{q}</t>
  </si>
  <si>
    <t>{p}</t>
  </si>
  <si>
    <t>{o}</t>
  </si>
  <si>
    <t>{n}</t>
  </si>
  <si>
    <t>{m}</t>
  </si>
  <si>
    <t>{l}</t>
  </si>
  <si>
    <t>{k}</t>
  </si>
  <si>
    <t>{j}</t>
  </si>
  <si>
    <t>{i}</t>
  </si>
  <si>
    <t>{h}</t>
  </si>
  <si>
    <t>{g}</t>
  </si>
  <si>
    <t>{f}</t>
  </si>
  <si>
    <t>{e}</t>
  </si>
  <si>
    <t>{d}</t>
  </si>
  <si>
    <t>{c}</t>
  </si>
  <si>
    <t>{b}</t>
  </si>
  <si>
    <t>{a}</t>
  </si>
  <si>
    <t>Tickmarks</t>
  </si>
  <si>
    <t>RPT_HEADERCLIENT</t>
  </si>
  <si>
    <t>Client:</t>
  </si>
  <si>
    <t>RPT_HEADERENGAGEMENT</t>
  </si>
  <si>
    <t>Engagement:</t>
  </si>
  <si>
    <t>RPT_CPEDATE</t>
  </si>
  <si>
    <t>Period Ending:</t>
  </si>
  <si>
    <t>RPT_HEADERTB</t>
  </si>
  <si>
    <t>Trial Balance:</t>
  </si>
  <si>
    <t>RPT_HEADERWORKPAPER</t>
  </si>
  <si>
    <t>Workpaper:</t>
  </si>
  <si>
    <t>Col_Metadata_row_1</t>
  </si>
  <si>
    <t>Col_Metadata_row_2</t>
  </si>
  <si>
    <t>NameCol</t>
  </si>
  <si>
    <t>DescCol</t>
  </si>
  <si>
    <t>3@</t>
  </si>
  <si>
    <t>4#</t>
  </si>
  <si>
    <t>4@</t>
  </si>
  <si>
    <t>6#</t>
  </si>
  <si>
    <t>6@</t>
  </si>
  <si>
    <t>7@</t>
  </si>
  <si>
    <t>200@</t>
  </si>
  <si>
    <t>30005@</t>
  </si>
  <si>
    <t>Col_Header_1</t>
  </si>
  <si>
    <t>Account</t>
  </si>
  <si>
    <t>Description</t>
  </si>
  <si>
    <t>UNADJ</t>
  </si>
  <si>
    <t>JE Ref #</t>
  </si>
  <si>
    <t>AJE</t>
  </si>
  <si>
    <t>RJE</t>
  </si>
  <si>
    <t>FINAL</t>
  </si>
  <si>
    <t>1st PP-FINAL</t>
  </si>
  <si>
    <t>$Var</t>
  </si>
  <si>
    <t>Col_Header_2</t>
  </si>
  <si>
    <t>T_First</t>
  </si>
  <si>
    <t>G_{4720}</t>
  </si>
  <si>
    <t>Group : [A]</t>
  </si>
  <si>
    <t>Cash &amp; Cash Equivalents</t>
  </si>
  <si>
    <t>SG_{4675}</t>
  </si>
  <si>
    <t>Subgroup : [A.01]</t>
  </si>
  <si>
    <t>Cash</t>
  </si>
  <si>
    <t>AD_{2}</t>
  </si>
  <si>
    <t>01-1110-000</t>
  </si>
  <si>
    <t>CHECKING/SWEEP - ZION'S BANK</t>
  </si>
  <si>
    <t>AD_{3}</t>
  </si>
  <si>
    <t>01-1111-000</t>
  </si>
  <si>
    <t>PIPELINE PROJECT CHECKING</t>
  </si>
  <si>
    <t>AD_{4}</t>
  </si>
  <si>
    <t>01-1111-100</t>
  </si>
  <si>
    <t>PIPELINE RETAINAGE ACCOUNT</t>
  </si>
  <si>
    <t>AD_{5}</t>
  </si>
  <si>
    <t>01-1112-000</t>
  </si>
  <si>
    <t>TREAT/PLANT UPGRADE CHECKING</t>
  </si>
  <si>
    <t>AD_{6}</t>
  </si>
  <si>
    <t>01-1112-100</t>
  </si>
  <si>
    <t>TREATMENT PLANT RETAINAGE ACC</t>
  </si>
  <si>
    <t>AD_{9}</t>
  </si>
  <si>
    <t>01-1115-000</t>
  </si>
  <si>
    <t>CHECKING - DRAPER BANK</t>
  </si>
  <si>
    <t>AD_{10}</t>
  </si>
  <si>
    <t>01-1116-000</t>
  </si>
  <si>
    <t>LETTER OF CREDIT FOR T PLANT</t>
  </si>
  <si>
    <t>AD_{13}</t>
  </si>
  <si>
    <t>01-1118-000</t>
  </si>
  <si>
    <t>Checking-First Utah</t>
  </si>
  <si>
    <t>AD_{14}</t>
  </si>
  <si>
    <t>01-1130-000</t>
  </si>
  <si>
    <t>MONEY MARKET - SWEEP</t>
  </si>
  <si>
    <t>AD_{15}</t>
  </si>
  <si>
    <t>01-1140-000</t>
  </si>
  <si>
    <t>MONEY MARKET - O&amp;M</t>
  </si>
  <si>
    <t>AD_{16}</t>
  </si>
  <si>
    <t>01-1150-000</t>
  </si>
  <si>
    <t>MONEY MARKET - CAPITAL FACILIT</t>
  </si>
  <si>
    <t>AD_{17}</t>
  </si>
  <si>
    <t>01-1160-000</t>
  </si>
  <si>
    <t>MONEY MARKET - DEBT SERVICE</t>
  </si>
  <si>
    <t>AD_{18}</t>
  </si>
  <si>
    <t>01-1165-000</t>
  </si>
  <si>
    <t>PI CONNECTION FEES</t>
  </si>
  <si>
    <t>AD_{19}</t>
  </si>
  <si>
    <t>01-1170-000</t>
  </si>
  <si>
    <t>C D - DEBT SERVICE</t>
  </si>
  <si>
    <t>AD_{22}</t>
  </si>
  <si>
    <t>01-1199-000</t>
  </si>
  <si>
    <t>CASH ALLOCATED FROM WATERPRO</t>
  </si>
  <si>
    <t>AD_{81}</t>
  </si>
  <si>
    <t>01-1910-000</t>
  </si>
  <si>
    <t>SUSPENSE</t>
  </si>
  <si>
    <t>AD_{157}</t>
  </si>
  <si>
    <t>20-1110-000</t>
  </si>
  <si>
    <t>AD_{158}</t>
  </si>
  <si>
    <t>20-1116-000</t>
  </si>
  <si>
    <t>CHECKING - HYDRANT MTR DEPOSIT</t>
  </si>
  <si>
    <t>AD_{159}</t>
  </si>
  <si>
    <t>20-1130-000</t>
  </si>
  <si>
    <t>AD_{160}</t>
  </si>
  <si>
    <t>20-1140-000</t>
  </si>
  <si>
    <t>AD_{161}</t>
  </si>
  <si>
    <t>20-1150-000</t>
  </si>
  <si>
    <t>AD_{162}</t>
  </si>
  <si>
    <t>20-1199-000</t>
  </si>
  <si>
    <t>AD_{172}</t>
  </si>
  <si>
    <t>20-1910-000</t>
  </si>
  <si>
    <t>AD_{245}</t>
  </si>
  <si>
    <t>30-1110-000</t>
  </si>
  <si>
    <t>CHECKING/SWEEP - FIRST UTAH BK</t>
  </si>
  <si>
    <t>AD_{246}</t>
  </si>
  <si>
    <t>30-1110-001</t>
  </si>
  <si>
    <t>FIRST UTAH CHECKING/FICA ACCT</t>
  </si>
  <si>
    <t>AD_{1024}</t>
  </si>
  <si>
    <t>30-1110-002</t>
  </si>
  <si>
    <t>XPRESS CASH ACCOUNT</t>
  </si>
  <si>
    <t>AD_{249}</t>
  </si>
  <si>
    <t>30-1115-000</t>
  </si>
  <si>
    <t>CUSTOMER DEPOSITS</t>
  </si>
  <si>
    <t>AD_{250}</t>
  </si>
  <si>
    <t>30-1116-000</t>
  </si>
  <si>
    <t>CHECKING - CLOSE CREDIT ACCTS</t>
  </si>
  <si>
    <t>AD_{251}</t>
  </si>
  <si>
    <t>30-1120-000</t>
  </si>
  <si>
    <t>PETTY CASH</t>
  </si>
  <si>
    <t>AD_{252}</t>
  </si>
  <si>
    <t>30-1130-000</t>
  </si>
  <si>
    <t>401k Cash-First Utah</t>
  </si>
  <si>
    <t>AD_{253}</t>
  </si>
  <si>
    <t>30-1140-000</t>
  </si>
  <si>
    <t>AD_{254}</t>
  </si>
  <si>
    <t>30-1190-000</t>
  </si>
  <si>
    <t>UTILITY CLEARING</t>
  </si>
  <si>
    <t>AD_{256}</t>
  </si>
  <si>
    <t>30-1195-000</t>
  </si>
  <si>
    <t>RETURNED CHECK CLEARING</t>
  </si>
  <si>
    <t>AD_{257}</t>
  </si>
  <si>
    <t>30-1196-000</t>
  </si>
  <si>
    <t>DOOR TAG FEE</t>
  </si>
  <si>
    <t>AD_{258}</t>
  </si>
  <si>
    <t>30-1199-000</t>
  </si>
  <si>
    <t>CASH ALLOC TO OTHER COMPANIES</t>
  </si>
  <si>
    <t>AD_{692}</t>
  </si>
  <si>
    <t>91-1110-000</t>
  </si>
  <si>
    <t>CASH</t>
  </si>
  <si>
    <t>AD_{693}</t>
  </si>
  <si>
    <t>91-1199-000</t>
  </si>
  <si>
    <t>AD_{699}</t>
  </si>
  <si>
    <t>92-1110-000</t>
  </si>
  <si>
    <t>AD_{706}</t>
  </si>
  <si>
    <t>93-1110-000</t>
  </si>
  <si>
    <t>SG_{4675}_T</t>
  </si>
  <si>
    <t>Subtotal [A.01]</t>
  </si>
  <si>
    <t>SG_{4675}_T_B</t>
  </si>
  <si>
    <t>SG_{4697}</t>
  </si>
  <si>
    <t>Subgroup : [A.02]</t>
  </si>
  <si>
    <t>Certificates of Deposit</t>
  </si>
  <si>
    <t>AD_{7}</t>
  </si>
  <si>
    <t>01-1113-000</t>
  </si>
  <si>
    <t>DIC CD'S</t>
  </si>
  <si>
    <t>AD_{247}</t>
  </si>
  <si>
    <t>30-1113-000</t>
  </si>
  <si>
    <t>WATERPRO CD'S</t>
  </si>
  <si>
    <t>SG_{4697}_T</t>
  </si>
  <si>
    <t>Subtotal [A.02]</t>
  </si>
  <si>
    <t>SG_{4697}_T_B</t>
  </si>
  <si>
    <t>SG_{4720}</t>
  </si>
  <si>
    <t>Subgroup : None</t>
  </si>
  <si>
    <t>SB_{4720}_T</t>
  </si>
  <si>
    <t>Subtotal : None</t>
  </si>
  <si>
    <t>G_{4720}_T</t>
  </si>
  <si>
    <t>Total [A]</t>
  </si>
  <si>
    <t>G_{4720}_T_B</t>
  </si>
  <si>
    <t>G_{4722}</t>
  </si>
  <si>
    <t>Group : [B]</t>
  </si>
  <si>
    <t>Accounts Receivable</t>
  </si>
  <si>
    <t>SG_{4678}</t>
  </si>
  <si>
    <t>Subgroup : [B.01]</t>
  </si>
  <si>
    <t>AD_{23}</t>
  </si>
  <si>
    <t>01-1210-000</t>
  </si>
  <si>
    <t>ACCOUNTS RECEIVABLE</t>
  </si>
  <si>
    <t>AD_{27}</t>
  </si>
  <si>
    <t>01-1261-000</t>
  </si>
  <si>
    <t>OTHER A/R</t>
  </si>
  <si>
    <t>AD_{28}</t>
  </si>
  <si>
    <t>01-1280-000</t>
  </si>
  <si>
    <t>A/R - WATER</t>
  </si>
  <si>
    <t>AD_{163}</t>
  </si>
  <si>
    <t>20-1210-000</t>
  </si>
  <si>
    <t>AD_{164}</t>
  </si>
  <si>
    <t>20-1212-000</t>
  </si>
  <si>
    <t>ACCOUNTS RECEIVABLE - OTHER</t>
  </si>
  <si>
    <t>AD_{168}</t>
  </si>
  <si>
    <t>20-1280-000</t>
  </si>
  <si>
    <t>AD_{259}</t>
  </si>
  <si>
    <t>30-1205-000</t>
  </si>
  <si>
    <t>BANKCARD RECEIVABLES</t>
  </si>
  <si>
    <t>AD_{260}</t>
  </si>
  <si>
    <t>30-1210-000</t>
  </si>
  <si>
    <t>AD_{261}</t>
  </si>
  <si>
    <t>30-1212-000</t>
  </si>
  <si>
    <t>TAXES RECEIVALBE</t>
  </si>
  <si>
    <t>AD_{263}</t>
  </si>
  <si>
    <t>30-1230-000</t>
  </si>
  <si>
    <t>EMPLOYEE RECEIVABLE</t>
  </si>
  <si>
    <t>AD_{264}</t>
  </si>
  <si>
    <t>30-1230-001</t>
  </si>
  <si>
    <t>DURANGO EMPLOYEE RECEIVABLE</t>
  </si>
  <si>
    <t>AD_{265}</t>
  </si>
  <si>
    <t>30-1230-002</t>
  </si>
  <si>
    <t>F150 EMPLOYEE RECEIVABLE</t>
  </si>
  <si>
    <t>AD_{272}</t>
  </si>
  <si>
    <t>30-1265-000</t>
  </si>
  <si>
    <t>A/R FROM EAGLE MOUNTAIN</t>
  </si>
  <si>
    <t>AD_{273}</t>
  </si>
  <si>
    <t>30-1270-000</t>
  </si>
  <si>
    <t>A/R FROM SARATOGA SPRINGS</t>
  </si>
  <si>
    <t>AD_{274}</t>
  </si>
  <si>
    <t>30-1275-000</t>
  </si>
  <si>
    <t>A/R FROM OQUIRRH MTN</t>
  </si>
  <si>
    <t>AD_{694}</t>
  </si>
  <si>
    <t>91-1210-000</t>
  </si>
  <si>
    <t>AD_{701}</t>
  </si>
  <si>
    <t>92-1210-000</t>
  </si>
  <si>
    <t>AD_{708}</t>
  </si>
  <si>
    <t>93-1210-000</t>
  </si>
  <si>
    <t>SG_{4678}_T</t>
  </si>
  <si>
    <t>Subtotal [B.01]</t>
  </si>
  <si>
    <t>SG_{4678}_T_B</t>
  </si>
  <si>
    <t>SG_{4679}</t>
  </si>
  <si>
    <t>Subgroup : [B.02]</t>
  </si>
  <si>
    <t>Allowance for Doubtful Accounts</t>
  </si>
  <si>
    <t>AD_{24}</t>
  </si>
  <si>
    <t>01-1215-000</t>
  </si>
  <si>
    <t>ALLOWANCE FOR BAD DEBTS</t>
  </si>
  <si>
    <t>AD_{165}</t>
  </si>
  <si>
    <t>20-1215-000</t>
  </si>
  <si>
    <t>AD_{262}</t>
  </si>
  <si>
    <t>30-1215-000</t>
  </si>
  <si>
    <t>SG_{4679}_T</t>
  </si>
  <si>
    <t>Subtotal [B.02]</t>
  </si>
  <si>
    <t>SG_{4679}_T_B</t>
  </si>
  <si>
    <t>SG_{4692}</t>
  </si>
  <si>
    <t>Subgroup : [B.03]</t>
  </si>
  <si>
    <t>Interest Receivable</t>
  </si>
  <si>
    <t>AD_{30}</t>
  </si>
  <si>
    <t>01-1315-000</t>
  </si>
  <si>
    <t>ACCRUED INTEREST</t>
  </si>
  <si>
    <t>AD_{277}</t>
  </si>
  <si>
    <t>30-1315-000</t>
  </si>
  <si>
    <t>SG_{4692}_T</t>
  </si>
  <si>
    <t>Subtotal [B.03]</t>
  </si>
  <si>
    <t>SG_{4692}_T_B</t>
  </si>
  <si>
    <t>SG_{4741}</t>
  </si>
  <si>
    <t>Subgroup : [B.04]</t>
  </si>
  <si>
    <t>Loans Receivable</t>
  </si>
  <si>
    <t>AD_{278}</t>
  </si>
  <si>
    <t>30-1315-001</t>
  </si>
  <si>
    <t>Investment Loan Newport</t>
  </si>
  <si>
    <t>AD_{279}</t>
  </si>
  <si>
    <t>30-1315-002</t>
  </si>
  <si>
    <t>Robinson/Paul Shaw Loan</t>
  </si>
  <si>
    <t>AD_{280}</t>
  </si>
  <si>
    <t>30-1315-003</t>
  </si>
  <si>
    <t>Robinson/Christman Loan</t>
  </si>
  <si>
    <t>AD_{281}</t>
  </si>
  <si>
    <t>30-1315-004</t>
  </si>
  <si>
    <t>J B Custom/Jeff Belnap Loan</t>
  </si>
  <si>
    <t>AD_{282}</t>
  </si>
  <si>
    <t>30-1315-005</t>
  </si>
  <si>
    <t>Robinson/Carter Loan</t>
  </si>
  <si>
    <t>AD_{283}</t>
  </si>
  <si>
    <t>30-1315-006</t>
  </si>
  <si>
    <t>Mary R Gill Loan</t>
  </si>
  <si>
    <t>AD_{284}</t>
  </si>
  <si>
    <t>30-1315-007</t>
  </si>
  <si>
    <t>Robinson/Whitley Loan</t>
  </si>
  <si>
    <t>AD_{285}</t>
  </si>
  <si>
    <t>30-1315-008</t>
  </si>
  <si>
    <t>Robinson/Don Edwards Loan</t>
  </si>
  <si>
    <t>AD_{286}</t>
  </si>
  <si>
    <t>30-1315-009</t>
  </si>
  <si>
    <t>Robinson/Varas Note</t>
  </si>
  <si>
    <t>AD_{287}</t>
  </si>
  <si>
    <t>30-1315-010</t>
  </si>
  <si>
    <t>Robinson/Hogan Loan</t>
  </si>
  <si>
    <t>AD_{288}</t>
  </si>
  <si>
    <t>30-1315-011</t>
  </si>
  <si>
    <t>Robinson/Jessop Loan</t>
  </si>
  <si>
    <t>AD_{289}</t>
  </si>
  <si>
    <t>30-1315-012</t>
  </si>
  <si>
    <t>ROBERT GIBBS 68,000</t>
  </si>
  <si>
    <t>AD_{290}</t>
  </si>
  <si>
    <t>30-1315-013</t>
  </si>
  <si>
    <t>DAVID FLETCHER 71,800</t>
  </si>
  <si>
    <t>AD_{291}</t>
  </si>
  <si>
    <t>30-1315-014</t>
  </si>
  <si>
    <t>PERVIAZ DEAN 62,800</t>
  </si>
  <si>
    <t>AD_{292}</t>
  </si>
  <si>
    <t>30-1315-015</t>
  </si>
  <si>
    <t>PERVIAZ DEAN 34,000</t>
  </si>
  <si>
    <t>AD_{293}</t>
  </si>
  <si>
    <t>30-1315-016</t>
  </si>
  <si>
    <t>JOLE B PARRISH 58,000</t>
  </si>
  <si>
    <t>AD_{294}</t>
  </si>
  <si>
    <t>30-1315-017</t>
  </si>
  <si>
    <t>STEVE GARY 72,200</t>
  </si>
  <si>
    <t>AD_{295}</t>
  </si>
  <si>
    <t>30-1315-018</t>
  </si>
  <si>
    <t>D.E. Management Inc,/Robinson</t>
  </si>
  <si>
    <t>AD_{296}</t>
  </si>
  <si>
    <t>30-1315-019</t>
  </si>
  <si>
    <t>Bryan Cook/Robinson/Liberty Av</t>
  </si>
  <si>
    <t>AD_{297}</t>
  </si>
  <si>
    <t>30-1315-020</t>
  </si>
  <si>
    <t>Bryan Cook/Robinson/529 27St</t>
  </si>
  <si>
    <t>AD_{298}</t>
  </si>
  <si>
    <t>30-1315-021</t>
  </si>
  <si>
    <t>Bryan Cook/Robinson/215 E 30th</t>
  </si>
  <si>
    <t>AD_{299}</t>
  </si>
  <si>
    <t>30-1315-022</t>
  </si>
  <si>
    <t>Bryan Cook/Robinson/3225 Porte</t>
  </si>
  <si>
    <t>AD_{300}</t>
  </si>
  <si>
    <t>30-1315-023</t>
  </si>
  <si>
    <t>BLAINE JOHNSON</t>
  </si>
  <si>
    <t>AD_{301}</t>
  </si>
  <si>
    <t>30-1315-024</t>
  </si>
  <si>
    <t>WENDY DEAN</t>
  </si>
  <si>
    <t>AD_{302}</t>
  </si>
  <si>
    <t>30-1315-025</t>
  </si>
  <si>
    <t>P &amp; B ENTERPRIZE INC LOAN</t>
  </si>
  <si>
    <t>AD_{303}</t>
  </si>
  <si>
    <t>30-1315-026</t>
  </si>
  <si>
    <t>GMR LLC LOAN</t>
  </si>
  <si>
    <t>AD_{304}</t>
  </si>
  <si>
    <t>30-1315-027</t>
  </si>
  <si>
    <t>PERVIAZ-LOAN</t>
  </si>
  <si>
    <t>AD_{305}</t>
  </si>
  <si>
    <t>30-1315-028</t>
  </si>
  <si>
    <t>PERVAIZ LOAN, 74762.05</t>
  </si>
  <si>
    <t>AD_{306}</t>
  </si>
  <si>
    <t>30-1315-029</t>
  </si>
  <si>
    <t>PERVAIZ LOAN 83982.00</t>
  </si>
  <si>
    <t>AD_{307}</t>
  </si>
  <si>
    <t>30-1315-030</t>
  </si>
  <si>
    <t>MERLIN G CALVER</t>
  </si>
  <si>
    <t>AD_{308}</t>
  </si>
  <si>
    <t>30-1315-031</t>
  </si>
  <si>
    <t>TERI SUE HARRIS</t>
  </si>
  <si>
    <t>AD_{310}</t>
  </si>
  <si>
    <t>30-1315-033</t>
  </si>
  <si>
    <t>PERVAIZ/DEAN LOAN</t>
  </si>
  <si>
    <t>AD_{311}</t>
  </si>
  <si>
    <t>30-1315-034</t>
  </si>
  <si>
    <t>AD_{312}</t>
  </si>
  <si>
    <t>30-1315-035</t>
  </si>
  <si>
    <t>KFC CORPORATION LOAN</t>
  </si>
  <si>
    <t>AD_{313}</t>
  </si>
  <si>
    <t>30-1315-037</t>
  </si>
  <si>
    <t>MARK WEBER</t>
  </si>
  <si>
    <t>AD_{314}</t>
  </si>
  <si>
    <t>30-1315-038</t>
  </si>
  <si>
    <t>PERVAIZ DEAN</t>
  </si>
  <si>
    <t>AD_{315}</t>
  </si>
  <si>
    <t>30-1315-039</t>
  </si>
  <si>
    <t>AD_{316}</t>
  </si>
  <si>
    <t>30-1315-040</t>
  </si>
  <si>
    <t>217 30TH STREET/SAA LLC</t>
  </si>
  <si>
    <t>AD_{317}</t>
  </si>
  <si>
    <t>30-1315-041</t>
  </si>
  <si>
    <t>529 27TH STREET/SAA LLC</t>
  </si>
  <si>
    <t>AD_{318}</t>
  </si>
  <si>
    <t>30-1315-042</t>
  </si>
  <si>
    <t>2649 S LIBERTY AVE/SCC LLC</t>
  </si>
  <si>
    <t>AD_{319}</t>
  </si>
  <si>
    <t>30-1315-043</t>
  </si>
  <si>
    <t>LC MANAGEMENT</t>
  </si>
  <si>
    <t>AD_{320}</t>
  </si>
  <si>
    <t>30-1315-044</t>
  </si>
  <si>
    <t>PERVAIZ DEAN LOAN 68,000</t>
  </si>
  <si>
    <t>AD_{321}</t>
  </si>
  <si>
    <t>30-1315-045</t>
  </si>
  <si>
    <t>STEAM ENGIN MEADOWS #39</t>
  </si>
  <si>
    <t>AD_{322}</t>
  </si>
  <si>
    <t>30-1315-046</t>
  </si>
  <si>
    <t>STEAM ENGIN MEADOWS #26 &amp; 28</t>
  </si>
  <si>
    <t>AD_{323}</t>
  </si>
  <si>
    <t>30-1315-047</t>
  </si>
  <si>
    <t>STEAM ENGIN MEADOWS #14,35,48</t>
  </si>
  <si>
    <t>SG_{4741}_T</t>
  </si>
  <si>
    <t>Subtotal [B.04]</t>
  </si>
  <si>
    <t>SG_{4741}_T_B</t>
  </si>
  <si>
    <t>SG_{4722}</t>
  </si>
  <si>
    <t>SB_{4722}_T</t>
  </si>
  <si>
    <t>G_{4722}_T</t>
  </si>
  <si>
    <t>Total [B]</t>
  </si>
  <si>
    <t>G_{4722}_T_B</t>
  </si>
  <si>
    <t>G_{4725}</t>
  </si>
  <si>
    <t>Group : [D]</t>
  </si>
  <si>
    <t>Inventory</t>
  </si>
  <si>
    <t>SG_{4742}</t>
  </si>
  <si>
    <t>Subgroup : [D.01]</t>
  </si>
  <si>
    <t>AD_{324}</t>
  </si>
  <si>
    <t>30-1330-000</t>
  </si>
  <si>
    <t>INVENTORY</t>
  </si>
  <si>
    <t>AD_{325}</t>
  </si>
  <si>
    <t>30-1335-092</t>
  </si>
  <si>
    <t>INVENTORY - EAGLE MOUNTAIN</t>
  </si>
  <si>
    <t>SG_{4742}_T</t>
  </si>
  <si>
    <t>Subtotal [D.01]</t>
  </si>
  <si>
    <t>SG_{4742}_T_B</t>
  </si>
  <si>
    <t>SG_{4725}</t>
  </si>
  <si>
    <t>SB_{4725}_T</t>
  </si>
  <si>
    <t>G_{4725}_T</t>
  </si>
  <si>
    <t>Total [D]</t>
  </si>
  <si>
    <t>G_{4725}_T_B</t>
  </si>
  <si>
    <t>G_{4727}</t>
  </si>
  <si>
    <t>Group : [E]</t>
  </si>
  <si>
    <t>Prepaids &amp; Other Assets</t>
  </si>
  <si>
    <t>SG_{4698}</t>
  </si>
  <si>
    <t>Subgroup : [E.01]</t>
  </si>
  <si>
    <t>Water Rights</t>
  </si>
  <si>
    <t>AD_{33}</t>
  </si>
  <si>
    <t>01-1510-000</t>
  </si>
  <si>
    <t>WATER RIGHTS - MOUNTAIN STREAM</t>
  </si>
  <si>
    <t>AD_{79}</t>
  </si>
  <si>
    <t>01-1850-000</t>
  </si>
  <si>
    <t>WATER RIGHTS</t>
  </si>
  <si>
    <t>AD_{169}</t>
  </si>
  <si>
    <t>20-1310-000</t>
  </si>
  <si>
    <t>WATER STOCK INVESTMENT</t>
  </si>
  <si>
    <t>AD_{327}</t>
  </si>
  <si>
    <t>30-1345-000</t>
  </si>
  <si>
    <t>STOCK/WATER RIGHTS PURCHASE</t>
  </si>
  <si>
    <t>SG_{4698}_T</t>
  </si>
  <si>
    <t>Subtotal [E.01]</t>
  </si>
  <si>
    <t>SG_{4698}_T_B</t>
  </si>
  <si>
    <t>SG_{4699}</t>
  </si>
  <si>
    <t>Subgroup : [E.02]</t>
  </si>
  <si>
    <t>Other Assets</t>
  </si>
  <si>
    <t>AD_{11}</t>
  </si>
  <si>
    <t>01-1116-100</t>
  </si>
  <si>
    <t>TREATMENT PLANT CASH BOND</t>
  </si>
  <si>
    <t>AD_{21}</t>
  </si>
  <si>
    <t>01-1192-000</t>
  </si>
  <si>
    <t>LEASE/PURCHASE CLEARNING-DIC</t>
  </si>
  <si>
    <t>AD_{80}</t>
  </si>
  <si>
    <t>01-1900-000</t>
  </si>
  <si>
    <t>OTHER ASSETS</t>
  </si>
  <si>
    <t>AD_{82}</t>
  </si>
  <si>
    <t>01-1950-000</t>
  </si>
  <si>
    <t>CORNER CANYON PROPERTIES BOND</t>
  </si>
  <si>
    <t>AD_{255}</t>
  </si>
  <si>
    <t>30-1192-000</t>
  </si>
  <si>
    <t>LEASE/PURCHASE CLEARNING</t>
  </si>
  <si>
    <t>AD_{309}</t>
  </si>
  <si>
    <t>30-1315-032</t>
  </si>
  <si>
    <t>BENNETTS LOAN</t>
  </si>
  <si>
    <t>AD_{326}</t>
  </si>
  <si>
    <t>30-1340-000</t>
  </si>
  <si>
    <t>STOCK PURCHASE</t>
  </si>
  <si>
    <t>AD_{352}</t>
  </si>
  <si>
    <t>30-1700-000</t>
  </si>
  <si>
    <t>DRAPER CITY DIGGING BOND</t>
  </si>
  <si>
    <t>AD_{353}</t>
  </si>
  <si>
    <t>30-1700-001</t>
  </si>
  <si>
    <t>CORNER CANYON RESV BOND</t>
  </si>
  <si>
    <t>AD_{748}</t>
  </si>
  <si>
    <t>30-1700-002</t>
  </si>
  <si>
    <t>LAND DISTURBANCE PERMIT</t>
  </si>
  <si>
    <t>AD_{770}</t>
  </si>
  <si>
    <t>30-1700-003</t>
  </si>
  <si>
    <t>BEAR CANYON INTAKE BOND</t>
  </si>
  <si>
    <t>AD_{354}</t>
  </si>
  <si>
    <t>30-1710-000</t>
  </si>
  <si>
    <t>BRIAN HEAD OTHER ASSET</t>
  </si>
  <si>
    <t>AD_{355}</t>
  </si>
  <si>
    <t>30-1890-000</t>
  </si>
  <si>
    <t>DEFERRED TAX ASSET</t>
  </si>
  <si>
    <t>AD_{356}</t>
  </si>
  <si>
    <t>30-1910-000</t>
  </si>
  <si>
    <t>AD_{357}</t>
  </si>
  <si>
    <t>30-1950-000</t>
  </si>
  <si>
    <t>Other assets</t>
  </si>
  <si>
    <t>AD_{688}</t>
  </si>
  <si>
    <t>30-9600-998</t>
  </si>
  <si>
    <t>PREPAID INCOME TAX</t>
  </si>
  <si>
    <t>AD_{695}</t>
  </si>
  <si>
    <t>91-2520-000</t>
  </si>
  <si>
    <t>DEPOSITS</t>
  </si>
  <si>
    <t>AD_{702}</t>
  </si>
  <si>
    <t>92-2520-000</t>
  </si>
  <si>
    <t>AD_{709}</t>
  </si>
  <si>
    <t>93-2520-000</t>
  </si>
  <si>
    <t>SG_{4699}_T</t>
  </si>
  <si>
    <t>Subtotal [E.02]</t>
  </si>
  <si>
    <t>SG_{4699}_T_B</t>
  </si>
  <si>
    <t>SG_{4729}</t>
  </si>
  <si>
    <t>Subgroup : [E.03]</t>
  </si>
  <si>
    <t>Cash Surrender Value</t>
  </si>
  <si>
    <t>AD_{12}</t>
  </si>
  <si>
    <t>01-1117-000</t>
  </si>
  <si>
    <t>NYL INSURANCE POLICY</t>
  </si>
  <si>
    <t>SG_{4729}_T</t>
  </si>
  <si>
    <t>Subtotal [E.03]</t>
  </si>
  <si>
    <t>SG_{4729}_T_B</t>
  </si>
  <si>
    <t>SG_{4732}</t>
  </si>
  <si>
    <t>Subgroup : [E.04]</t>
  </si>
  <si>
    <t>Investment in Utah Lake Water Users</t>
  </si>
  <si>
    <t>AD_{768}</t>
  </si>
  <si>
    <t>01-1550-000</t>
  </si>
  <si>
    <t>UTAH LAKE WATER USERS</t>
  </si>
  <si>
    <t>AD_{769}</t>
  </si>
  <si>
    <t>30-1550-000</t>
  </si>
  <si>
    <t>SG_{4732}_T</t>
  </si>
  <si>
    <t>Subtotal [E.04]</t>
  </si>
  <si>
    <t>SG_{4732}_T_B</t>
  </si>
  <si>
    <t>SG_{4727}</t>
  </si>
  <si>
    <t>SB_{4727}_T</t>
  </si>
  <si>
    <t>G_{4727}_T</t>
  </si>
  <si>
    <t>Total [E]</t>
  </si>
  <si>
    <t>G_{4727}_T_B</t>
  </si>
  <si>
    <t>G_{4721}</t>
  </si>
  <si>
    <t>Group : [F]</t>
  </si>
  <si>
    <t>Investments</t>
  </si>
  <si>
    <t>SG_{4676}</t>
  </si>
  <si>
    <t>Subgroup : [F.01]</t>
  </si>
  <si>
    <t>Investments Available for Sale</t>
  </si>
  <si>
    <t>AD_{8}</t>
  </si>
  <si>
    <t>01-1114-000</t>
  </si>
  <si>
    <t>MUTUAL FUND BANC ONE</t>
  </si>
  <si>
    <t>AD_{20}</t>
  </si>
  <si>
    <t>01-1180-000</t>
  </si>
  <si>
    <t>Tresury Bond</t>
  </si>
  <si>
    <t>AD_{29}</t>
  </si>
  <si>
    <t>01-1310-000</t>
  </si>
  <si>
    <t>AD_{105}</t>
  </si>
  <si>
    <t>01-2955-000</t>
  </si>
  <si>
    <t>UNREALIZED GAIN ON INVESTMENT</t>
  </si>
  <si>
    <t>AD_{248}</t>
  </si>
  <si>
    <t>30-1114-000</t>
  </si>
  <si>
    <t>SG_{4676}_T</t>
  </si>
  <si>
    <t>Subtotal [F.01]</t>
  </si>
  <si>
    <t>SG_{4676}_T_B</t>
  </si>
  <si>
    <t>SG_{4677}</t>
  </si>
  <si>
    <t>Subgroup : [F.02]</t>
  </si>
  <si>
    <t>Investment in Subsidiaries</t>
  </si>
  <si>
    <t>AD_{31}</t>
  </si>
  <si>
    <t>01-1410-000</t>
  </si>
  <si>
    <t>INVESTMENT IN WATERPRO</t>
  </si>
  <si>
    <t>AD_{32}</t>
  </si>
  <si>
    <t>01-1420-000</t>
  </si>
  <si>
    <t>INVESTMENT IN DWS</t>
  </si>
  <si>
    <t>AD_{97}</t>
  </si>
  <si>
    <t>01-2825-000</t>
  </si>
  <si>
    <t>SG_{4677}_T</t>
  </si>
  <si>
    <t>Subtotal [F.02]</t>
  </si>
  <si>
    <t>SG_{4677}_T_B</t>
  </si>
  <si>
    <t>SG_{4740}</t>
  </si>
  <si>
    <t>Subgroup : [F.03]</t>
  </si>
  <si>
    <t>Other Investments</t>
  </si>
  <si>
    <t>AD_{275}</t>
  </si>
  <si>
    <t>30-1310-000</t>
  </si>
  <si>
    <t>SG_{4740}_T</t>
  </si>
  <si>
    <t>Subtotal [F.03]</t>
  </si>
  <si>
    <t>SG_{4740}_T_B</t>
  </si>
  <si>
    <t>SG_{4721}</t>
  </si>
  <si>
    <t>SB_{4721}_T</t>
  </si>
  <si>
    <t>G_{4721}_T</t>
  </si>
  <si>
    <t>Total [F]</t>
  </si>
  <si>
    <t>G_{4721}_T_B</t>
  </si>
  <si>
    <t>G_{4726}</t>
  </si>
  <si>
    <t>Group : [K]</t>
  </si>
  <si>
    <t>Property and Equipment</t>
  </si>
  <si>
    <t>SG_{4680}</t>
  </si>
  <si>
    <t>Subgroup : [K.01]</t>
  </si>
  <si>
    <t>Property and equipment</t>
  </si>
  <si>
    <t>AD_{762}</t>
  </si>
  <si>
    <t>01-1350-005</t>
  </si>
  <si>
    <t>AUTOS AND TRUCKS</t>
  </si>
  <si>
    <t>AD_{763}</t>
  </si>
  <si>
    <t>01-1350-010</t>
  </si>
  <si>
    <t>COMPUTER EQUIPMENT</t>
  </si>
  <si>
    <t>AD_{764}</t>
  </si>
  <si>
    <t>01-1350-020</t>
  </si>
  <si>
    <t>HEAVY EQUIPMENT</t>
  </si>
  <si>
    <t>AD_{765}</t>
  </si>
  <si>
    <t>01-1350-025</t>
  </si>
  <si>
    <t>OFFICE FURNITURE</t>
  </si>
  <si>
    <t>AD_{34}</t>
  </si>
  <si>
    <t>01-1610-000</t>
  </si>
  <si>
    <t>PURCH SOURCE FACILITIES - CUL</t>
  </si>
  <si>
    <t>AD_{35}</t>
  </si>
  <si>
    <t>01-1611-000</t>
  </si>
  <si>
    <t>PURCH SOURCE FACILITIES -IRR</t>
  </si>
  <si>
    <t>AD_{38}</t>
  </si>
  <si>
    <t>01-1620-000</t>
  </si>
  <si>
    <t>PURCH - PLANT FACILITIES - CUL</t>
  </si>
  <si>
    <t>AD_{39}</t>
  </si>
  <si>
    <t>01-1620-100</t>
  </si>
  <si>
    <t>TREATMENT PLANT UPGRADE</t>
  </si>
  <si>
    <t>AD_{40}</t>
  </si>
  <si>
    <t>01-1620-200</t>
  </si>
  <si>
    <t>LITTLE VALLEY TANK</t>
  </si>
  <si>
    <t>AD_{41}</t>
  </si>
  <si>
    <t>01-1620-300</t>
  </si>
  <si>
    <t>SYSTEM UPGRADES DIC</t>
  </si>
  <si>
    <t>AD_{754}</t>
  </si>
  <si>
    <t>01-1620-310</t>
  </si>
  <si>
    <t>Reuse Water Project</t>
  </si>
  <si>
    <t>AD_{42}</t>
  </si>
  <si>
    <t>01-1620-400</t>
  </si>
  <si>
    <t>VILLA DE VILLA WELL</t>
  </si>
  <si>
    <t>AD_{757}</t>
  </si>
  <si>
    <t>01-1620-410</t>
  </si>
  <si>
    <t>HIDDEN VALLEY CC WELL</t>
  </si>
  <si>
    <t>AD_{43}</t>
  </si>
  <si>
    <t>01-1620-500</t>
  </si>
  <si>
    <t>CORNER CANYON TANK</t>
  </si>
  <si>
    <t>AD_{761}</t>
  </si>
  <si>
    <t>01-1620-600</t>
  </si>
  <si>
    <t>HIDDEN VALLEY WELL</t>
  </si>
  <si>
    <t>AD_{44}</t>
  </si>
  <si>
    <t>01-1621-000</t>
  </si>
  <si>
    <t>PURCH - PLANT FACILITIES - IRR</t>
  </si>
  <si>
    <t>AD_{47}</t>
  </si>
  <si>
    <t>01-1630-000</t>
  </si>
  <si>
    <t>PURCH - RESERVOIR FACILITY-CUL</t>
  </si>
  <si>
    <t>AD_{48}</t>
  </si>
  <si>
    <t>01-1631-000</t>
  </si>
  <si>
    <t>PURCH - RESERVOIR FACILITY-IRR</t>
  </si>
  <si>
    <t>AD_{49}</t>
  </si>
  <si>
    <t>01-1632-000</t>
  </si>
  <si>
    <t>WELL IMPROVEMENTS</t>
  </si>
  <si>
    <t>AD_{50}</t>
  </si>
  <si>
    <t>01-1632-100</t>
  </si>
  <si>
    <t>SHALLOW WELLS</t>
  </si>
  <si>
    <t>AD_{54}</t>
  </si>
  <si>
    <t>01-1640-000</t>
  </si>
  <si>
    <t>PURCH - LINE FACILITIES - CUL</t>
  </si>
  <si>
    <t>AD_{55}</t>
  </si>
  <si>
    <t>01-1640-100</t>
  </si>
  <si>
    <t>PIPE LINE UPGRADE</t>
  </si>
  <si>
    <t>AD_{56}</t>
  </si>
  <si>
    <t>01-1640-200</t>
  </si>
  <si>
    <t>CIP-Purchased Lines-CUL</t>
  </si>
  <si>
    <t>AD_{57}</t>
  </si>
  <si>
    <t>01-1641-000</t>
  </si>
  <si>
    <t>PURCH - LINE FACILITIES - IRR</t>
  </si>
  <si>
    <t>AD_{58}</t>
  </si>
  <si>
    <t>01-1641-100</t>
  </si>
  <si>
    <t>CIP PURCHASED LINES-IRR</t>
  </si>
  <si>
    <t>AD_{61}</t>
  </si>
  <si>
    <t>01-1650-000</t>
  </si>
  <si>
    <t>BUILDINGS</t>
  </si>
  <si>
    <t>AD_{766}</t>
  </si>
  <si>
    <t>01-1650-010</t>
  </si>
  <si>
    <t>STORAGE FACILITY</t>
  </si>
  <si>
    <t>AD_{63}</t>
  </si>
  <si>
    <t>01-1710-000</t>
  </si>
  <si>
    <t>CONT - PLANT FACILITIES - CUL</t>
  </si>
  <si>
    <t>AD_{64}</t>
  </si>
  <si>
    <t>01-1711-000</t>
  </si>
  <si>
    <t>CONT PLANT FACILITIES -IRR</t>
  </si>
  <si>
    <t>AD_{67}</t>
  </si>
  <si>
    <t>01-1720-000</t>
  </si>
  <si>
    <t>CONT - RESERVOIR FACILITY-CUL</t>
  </si>
  <si>
    <t>AD_{68}</t>
  </si>
  <si>
    <t>01-1721-000</t>
  </si>
  <si>
    <t>CONT RESERVOIR FACILITIES -IRR</t>
  </si>
  <si>
    <t>AD_{71}</t>
  </si>
  <si>
    <t>01-1730-000</t>
  </si>
  <si>
    <t>CONT - LINE FACILITIES - CUL</t>
  </si>
  <si>
    <t>AD_{72}</t>
  </si>
  <si>
    <t>01-1731-000</t>
  </si>
  <si>
    <t>CONT - LINE FACILITIES - IRR</t>
  </si>
  <si>
    <t>AD_{75}</t>
  </si>
  <si>
    <t>01-1740-000</t>
  </si>
  <si>
    <t>CONT CUST METER FACILITIES</t>
  </si>
  <si>
    <t>AD_{77}</t>
  </si>
  <si>
    <t>01-1810-000</t>
  </si>
  <si>
    <t>LAND - WATERSHED</t>
  </si>
  <si>
    <t>AD_{78}</t>
  </si>
  <si>
    <t>01-1820-000</t>
  </si>
  <si>
    <t>LAND - DEVELOPMENT</t>
  </si>
  <si>
    <t>AD_{170}</t>
  </si>
  <si>
    <t>20-1430-000</t>
  </si>
  <si>
    <t>DIC SYSTEM UPGRADE</t>
  </si>
  <si>
    <t>AD_{328}</t>
  </si>
  <si>
    <t>30-1350-000</t>
  </si>
  <si>
    <t>FIXED ASSETS</t>
  </si>
  <si>
    <t>AD_{329}</t>
  </si>
  <si>
    <t>30-1350-005</t>
  </si>
  <si>
    <t>AD_{330}</t>
  </si>
  <si>
    <t>30-1350-010</t>
  </si>
  <si>
    <t>AD_{331}</t>
  </si>
  <si>
    <t>30-1350-015</t>
  </si>
  <si>
    <t>RADIO EQUIPMENT</t>
  </si>
  <si>
    <t>AD_{332}</t>
  </si>
  <si>
    <t>30-1350-020</t>
  </si>
  <si>
    <t>AD_{333}</t>
  </si>
  <si>
    <t>30-1350-025</t>
  </si>
  <si>
    <t>AD_{340}</t>
  </si>
  <si>
    <t>30-1650-000</t>
  </si>
  <si>
    <t>BUILDING UPGRADES</t>
  </si>
  <si>
    <t>AD_{752}</t>
  </si>
  <si>
    <t>30-1650-010</t>
  </si>
  <si>
    <t>AD_{342}</t>
  </si>
  <si>
    <t>30-1690-001</t>
  </si>
  <si>
    <t>C.I.P. - TRAVERSE RIDGE TANK</t>
  </si>
  <si>
    <t>AD_{343}</t>
  </si>
  <si>
    <t>30-1690-002</t>
  </si>
  <si>
    <t>C.I.P. - RAMBLING ROAD LINE</t>
  </si>
  <si>
    <t>AD_{344}</t>
  </si>
  <si>
    <t>30-1690-003</t>
  </si>
  <si>
    <t>C.I.P. - IRRIGATION MAIN METER</t>
  </si>
  <si>
    <t>AD_{345}</t>
  </si>
  <si>
    <t>30-1690-004</t>
  </si>
  <si>
    <t>C.I.P. - 700 EAST EXTENSION</t>
  </si>
  <si>
    <t>AD_{346}</t>
  </si>
  <si>
    <t>30-1690-005</t>
  </si>
  <si>
    <t>TREATMENT PLANT UPGRADE/RENOVA</t>
  </si>
  <si>
    <t>AD_{347}</t>
  </si>
  <si>
    <t>30-1690-006</t>
  </si>
  <si>
    <t>CRESSANT SECONDARY H20 SYSTEM</t>
  </si>
  <si>
    <t>AD_{348}</t>
  </si>
  <si>
    <t>30-1690-007</t>
  </si>
  <si>
    <t>SYSTEM UPGRADES/IMPROVEMENTS</t>
  </si>
  <si>
    <t>AD_{349}</t>
  </si>
  <si>
    <t>30-1690-008</t>
  </si>
  <si>
    <t>AD_{350}</t>
  </si>
  <si>
    <t>30-1690-009</t>
  </si>
  <si>
    <t>LITTLE VALLEY RESERVOIR</t>
  </si>
  <si>
    <t>AD_{351}</t>
  </si>
  <si>
    <t>30-1690-010</t>
  </si>
  <si>
    <t>AD_{747}</t>
  </si>
  <si>
    <t>30-1690-011</t>
  </si>
  <si>
    <t>CORNER CANYON DIVERSION</t>
  </si>
  <si>
    <t>AD_{753}</t>
  </si>
  <si>
    <t>30-1690-012</t>
  </si>
  <si>
    <t>REUSE PROJECT</t>
  </si>
  <si>
    <t>AD_{759}</t>
  </si>
  <si>
    <t>30-1690-013</t>
  </si>
  <si>
    <t>AD_{1136}</t>
  </si>
  <si>
    <t>30-1690-014</t>
  </si>
  <si>
    <t>NORTH IRRIGATION PUMP STATION</t>
  </si>
  <si>
    <t>SG_{4680}_T</t>
  </si>
  <si>
    <t>Subtotal [K.01]</t>
  </si>
  <si>
    <t>SG_{4680}_T_B</t>
  </si>
  <si>
    <t>SG_{4681}</t>
  </si>
  <si>
    <t>Subgroup : [K.02]</t>
  </si>
  <si>
    <t>Accumulated depreciation</t>
  </si>
  <si>
    <t>AD_{36}</t>
  </si>
  <si>
    <t>01-1615-000</t>
  </si>
  <si>
    <t>ACC DEP - PURCH SOURCE - CUL</t>
  </si>
  <si>
    <t>AD_{37}</t>
  </si>
  <si>
    <t>01-1616-000</t>
  </si>
  <si>
    <t>ACC DEP - PURCH SOURCE - IRR</t>
  </si>
  <si>
    <t>AD_{45}</t>
  </si>
  <si>
    <t>01-1625-000</t>
  </si>
  <si>
    <t>ACC DEP - PURCH PLANT - CUL</t>
  </si>
  <si>
    <t>AD_{46}</t>
  </si>
  <si>
    <t>01-1626-000</t>
  </si>
  <si>
    <t>ACC DEP - PURCH PLANT - IRR</t>
  </si>
  <si>
    <t>AD_{51}</t>
  </si>
  <si>
    <t>01-1635-000</t>
  </si>
  <si>
    <t>ACC DEP - PURCH RESERVOIR -CUL</t>
  </si>
  <si>
    <t>AD_{52}</t>
  </si>
  <si>
    <t>01-1636-000</t>
  </si>
  <si>
    <t>ACC DEP - PURCH RESERVOIR -IRR</t>
  </si>
  <si>
    <t>AD_{53}</t>
  </si>
  <si>
    <t>01-1637-000</t>
  </si>
  <si>
    <t>ACC DEP- WELL IMPROVEMENTS</t>
  </si>
  <si>
    <t>AD_{59}</t>
  </si>
  <si>
    <t>01-1645-000</t>
  </si>
  <si>
    <t>ACC DEP - PURCH LINE - CUL</t>
  </si>
  <si>
    <t>AD_{60}</t>
  </si>
  <si>
    <t>01-1646-000</t>
  </si>
  <si>
    <t>ACC DEP - PURCH LINE - IRR</t>
  </si>
  <si>
    <t>AD_{62}</t>
  </si>
  <si>
    <t>01-1655-000</t>
  </si>
  <si>
    <t>ACC DEP - FIXED ASSETS</t>
  </si>
  <si>
    <t>AD_{65}</t>
  </si>
  <si>
    <t>01-1715-000</t>
  </si>
  <si>
    <t>ACC DEP - CONT PLANT - CUL</t>
  </si>
  <si>
    <t>AD_{66}</t>
  </si>
  <si>
    <t>01-1716-000</t>
  </si>
  <si>
    <t>ACC DEP - CONT PLANT - IRR</t>
  </si>
  <si>
    <t>AD_{69}</t>
  </si>
  <si>
    <t>01-1725-000</t>
  </si>
  <si>
    <t>ACC DEP - CONT RESERVOIR - CUL</t>
  </si>
  <si>
    <t>AD_{70}</t>
  </si>
  <si>
    <t>01-1726-000</t>
  </si>
  <si>
    <t>ACC DEP - CONT RESERVOIR - IRR</t>
  </si>
  <si>
    <t>AD_{73}</t>
  </si>
  <si>
    <t>01-1735-000</t>
  </si>
  <si>
    <t>ACC DEP - CONT LINE - CUL</t>
  </si>
  <si>
    <t>AD_{74}</t>
  </si>
  <si>
    <t>01-1736-000</t>
  </si>
  <si>
    <t>ACC DEP - CONT LINES - IRR</t>
  </si>
  <si>
    <t>AD_{76}</t>
  </si>
  <si>
    <t>01-1745-000</t>
  </si>
  <si>
    <t>ACC DEP - CONT METER</t>
  </si>
  <si>
    <t>AD_{171}</t>
  </si>
  <si>
    <t>20-1435-000</t>
  </si>
  <si>
    <t>ACC DEP - DIC SYSTEM UPGRADE</t>
  </si>
  <si>
    <t>AD_{334}</t>
  </si>
  <si>
    <t>30-1355-000</t>
  </si>
  <si>
    <t>AD_{335}</t>
  </si>
  <si>
    <t>30-1355-005</t>
  </si>
  <si>
    <t>ACC DEP-AUTOS AND TRUCKS</t>
  </si>
  <si>
    <t>AD_{336}</t>
  </si>
  <si>
    <t>30-1355-010</t>
  </si>
  <si>
    <t>ACC DEP COMPUTER EQUIPMENT</t>
  </si>
  <si>
    <t>AD_{337}</t>
  </si>
  <si>
    <t>30-1355-015</t>
  </si>
  <si>
    <t>ACC DEP RADIO EQUIPMENT</t>
  </si>
  <si>
    <t>AD_{338}</t>
  </si>
  <si>
    <t>30-1355-020</t>
  </si>
  <si>
    <t>ACC DEP HEAVY EQUIPMENT</t>
  </si>
  <si>
    <t>AD_{339}</t>
  </si>
  <si>
    <t>30-1355-025</t>
  </si>
  <si>
    <t>ACC DEP OFFICE FURNITURE</t>
  </si>
  <si>
    <t>AD_{341}</t>
  </si>
  <si>
    <t>30-1655-000</t>
  </si>
  <si>
    <t>ACC DEP - PURCH BUILDINGS</t>
  </si>
  <si>
    <t>SG_{4681}_T</t>
  </si>
  <si>
    <t>Subtotal [K.02]</t>
  </si>
  <si>
    <t>SG_{4681}_T_B</t>
  </si>
  <si>
    <t>SG_{4726}</t>
  </si>
  <si>
    <t>SB_{4726}_T</t>
  </si>
  <si>
    <t>G_{4726}_T</t>
  </si>
  <si>
    <t>Total [K]</t>
  </si>
  <si>
    <t>G_{4726}_T_B</t>
  </si>
  <si>
    <t>G_{4723}</t>
  </si>
  <si>
    <t>Group : [L]</t>
  </si>
  <si>
    <t>Intercompany Accounts</t>
  </si>
  <si>
    <t>SG_{4739}</t>
  </si>
  <si>
    <t>Subgroup : [LL.01]</t>
  </si>
  <si>
    <t>AD_{25}</t>
  </si>
  <si>
    <t>01-1255-000</t>
  </si>
  <si>
    <t>INTERCOMPANY A/R FROM WATERPRO</t>
  </si>
  <si>
    <t>AD_{26}</t>
  </si>
  <si>
    <t>01-1260-000</t>
  </si>
  <si>
    <t>INTERCOMPANY A/R FROM DWS</t>
  </si>
  <si>
    <t>AD_{86}</t>
  </si>
  <si>
    <t>01-2125-000</t>
  </si>
  <si>
    <t>INTERCOMPANY A/P DUE WATERPRO</t>
  </si>
  <si>
    <t>AD_{87}</t>
  </si>
  <si>
    <t>01-2130-000</t>
  </si>
  <si>
    <t>INTERCOMPANY A/P DUE DWS</t>
  </si>
  <si>
    <t>AD_{166}</t>
  </si>
  <si>
    <t>20-1250-000</t>
  </si>
  <si>
    <t>INTERCOMPANY A/R FROM DIC</t>
  </si>
  <si>
    <t>AD_{167}</t>
  </si>
  <si>
    <t>20-1255-000</t>
  </si>
  <si>
    <t>AD_{175}</t>
  </si>
  <si>
    <t>20-2120-000</t>
  </si>
  <si>
    <t>INTERCOMPANY A/P DUE DIC</t>
  </si>
  <si>
    <t>AD_{176}</t>
  </si>
  <si>
    <t>20-2125-000</t>
  </si>
  <si>
    <t>AD_{266}</t>
  </si>
  <si>
    <t>30-1250-000</t>
  </si>
  <si>
    <t>ALLOCATABLE INTERCO A/R - DIC</t>
  </si>
  <si>
    <t>AD_{267}</t>
  </si>
  <si>
    <t>30-1251-000</t>
  </si>
  <si>
    <t>CUSTOMER REFUND PAID FOR DIC</t>
  </si>
  <si>
    <t>AD_{268}</t>
  </si>
  <si>
    <t>30-1252-000</t>
  </si>
  <si>
    <t>DIRECT INTERCO A/R FROM DIC</t>
  </si>
  <si>
    <t>AD_{269}</t>
  </si>
  <si>
    <t>30-1260-000</t>
  </si>
  <si>
    <t>ALLOCATABLE INTERCO A/R - DWS</t>
  </si>
  <si>
    <t>AD_{270}</t>
  </si>
  <si>
    <t>30-1261-000</t>
  </si>
  <si>
    <t>CUSTOMER REFUND PAID FOR DWS</t>
  </si>
  <si>
    <t>AD_{271}</t>
  </si>
  <si>
    <t>30-1262-000</t>
  </si>
  <si>
    <t>DIRECT INTERCO A/R FROM DWS</t>
  </si>
  <si>
    <t>AD_{361}</t>
  </si>
  <si>
    <t>30-2120-000</t>
  </si>
  <si>
    <t>AD_{362}</t>
  </si>
  <si>
    <t>30-2130-000</t>
  </si>
  <si>
    <t>AD_{700}</t>
  </si>
  <si>
    <t>92-1199-000</t>
  </si>
  <si>
    <t>AD_{707}</t>
  </si>
  <si>
    <t>93-1199-000</t>
  </si>
  <si>
    <t>SG_{4739}_T</t>
  </si>
  <si>
    <t>Subtotal [LL.01]</t>
  </si>
  <si>
    <t>SG_{4739}_T_B</t>
  </si>
  <si>
    <t>SG_{4723}</t>
  </si>
  <si>
    <t>SB_{4723}_T</t>
  </si>
  <si>
    <t>G_{4723}_T</t>
  </si>
  <si>
    <t>Total [L]</t>
  </si>
  <si>
    <t>G_{4723}_T_B</t>
  </si>
  <si>
    <t>G_{4670}</t>
  </si>
  <si>
    <t>Group : [LL]</t>
  </si>
  <si>
    <t>Equity</t>
  </si>
  <si>
    <t>SG_{4686}</t>
  </si>
  <si>
    <t>Class A common</t>
  </si>
  <si>
    <t>AD_{98}</t>
  </si>
  <si>
    <t>01-2910-000</t>
  </si>
  <si>
    <t>COMMON STOCK-CLASS A SHARES</t>
  </si>
  <si>
    <t>AD_{180}</t>
  </si>
  <si>
    <t>20-2910-000</t>
  </si>
  <si>
    <t>AD_{187}</t>
  </si>
  <si>
    <t>20-3000-101</t>
  </si>
  <si>
    <t>ASSESSMENT 'A' CLASS STOCK</t>
  </si>
  <si>
    <t>AD_{399}</t>
  </si>
  <si>
    <t>30-2910-000</t>
  </si>
  <si>
    <t>SG_{4686}_T</t>
  </si>
  <si>
    <t>SG_{4686}_T_B</t>
  </si>
  <si>
    <t>SG_{4687}</t>
  </si>
  <si>
    <t>Subgroup : [LL.02]</t>
  </si>
  <si>
    <t>Class B common</t>
  </si>
  <si>
    <t>AD_{99}</t>
  </si>
  <si>
    <t>01-2911-000</t>
  </si>
  <si>
    <t>COMMON STOCK-CLASS B SHARES</t>
  </si>
  <si>
    <t>AD_{181}</t>
  </si>
  <si>
    <t>20-2911-000</t>
  </si>
  <si>
    <t>SG_{4687}_T</t>
  </si>
  <si>
    <t>Subtotal [LL.02]</t>
  </si>
  <si>
    <t>SG_{4687}_T_B</t>
  </si>
  <si>
    <t>SG_{4688}</t>
  </si>
  <si>
    <t>Subgroup : [LL.03]</t>
  </si>
  <si>
    <t>Class A APIC</t>
  </si>
  <si>
    <t>AD_{102}</t>
  </si>
  <si>
    <t>01-2940-000</t>
  </si>
  <si>
    <t>PAID IN CAPITAL - CLASS 'A'</t>
  </si>
  <si>
    <t>AD_{103}</t>
  </si>
  <si>
    <t>01-2941-000</t>
  </si>
  <si>
    <t>PAID-IN CAPITAL-CLASS B SHARES</t>
  </si>
  <si>
    <t>AD_{183}</t>
  </si>
  <si>
    <t>20-2940-000</t>
  </si>
  <si>
    <t>AD_{402}</t>
  </si>
  <si>
    <t>30-2940-000</t>
  </si>
  <si>
    <t>PAID-IN CAPITAL</t>
  </si>
  <si>
    <t>SG_{4688}_T</t>
  </si>
  <si>
    <t>Subtotal [LL.03]</t>
  </si>
  <si>
    <t>SG_{4688}_T_B</t>
  </si>
  <si>
    <t>SG_{4689}</t>
  </si>
  <si>
    <t>Subgroup : [LL.04]</t>
  </si>
  <si>
    <t>Class B APIC</t>
  </si>
  <si>
    <t>AD_{184}</t>
  </si>
  <si>
    <t>20-2941-000</t>
  </si>
  <si>
    <t>PAID IN CAPITAL - CLASS 'B'</t>
  </si>
  <si>
    <t>SG_{4689}_T</t>
  </si>
  <si>
    <t>Subtotal [LL.04]</t>
  </si>
  <si>
    <t>SG_{4689}_T_B</t>
  </si>
  <si>
    <t>SG_{4690}</t>
  </si>
  <si>
    <t>Subgroup : [LL.05]</t>
  </si>
  <si>
    <t>Treasury stock</t>
  </si>
  <si>
    <t>AD_{100}</t>
  </si>
  <si>
    <t>01-2930-000</t>
  </si>
  <si>
    <t>TREASURY STOCK</t>
  </si>
  <si>
    <t>AD_{182}</t>
  </si>
  <si>
    <t>20-2930-000</t>
  </si>
  <si>
    <t>AD_{401}</t>
  </si>
  <si>
    <t>30-2930-000</t>
  </si>
  <si>
    <t>SG_{4690}_T</t>
  </si>
  <si>
    <t>Subtotal [LL.05]</t>
  </si>
  <si>
    <t>SG_{4690}_T_B</t>
  </si>
  <si>
    <t>SG_{4691}</t>
  </si>
  <si>
    <t>Subgroup : [LL.06]</t>
  </si>
  <si>
    <t>Retained Earnings</t>
  </si>
  <si>
    <t>AD_{104}</t>
  </si>
  <si>
    <t>01-2950-000</t>
  </si>
  <si>
    <t>CONTRIBUTED CAPITAL</t>
  </si>
  <si>
    <t>AD_{106}</t>
  </si>
  <si>
    <t>01-2960-000</t>
  </si>
  <si>
    <t>RETAINED EARNINGS</t>
  </si>
  <si>
    <t>AD_{108}</t>
  </si>
  <si>
    <t>01-3000-999</t>
  </si>
  <si>
    <t>P&amp;L Summary</t>
  </si>
  <si>
    <t>AD_{185}</t>
  </si>
  <si>
    <t>20-2950-000</t>
  </si>
  <si>
    <t>AD_{186}</t>
  </si>
  <si>
    <t>20-2960-000</t>
  </si>
  <si>
    <t>AD_{400}</t>
  </si>
  <si>
    <t>30-2920-000</t>
  </si>
  <si>
    <t>OTHER CONTRIBUTED CAPITAL</t>
  </si>
  <si>
    <t>AD_{403}</t>
  </si>
  <si>
    <t>30-2950-000</t>
  </si>
  <si>
    <t>AD_{404}</t>
  </si>
  <si>
    <t>30-2960-000</t>
  </si>
  <si>
    <t>AD_{696}</t>
  </si>
  <si>
    <t>91-2960-000</t>
  </si>
  <si>
    <t>AD_{703}</t>
  </si>
  <si>
    <t>92-2960-000</t>
  </si>
  <si>
    <t>AD_{710}</t>
  </si>
  <si>
    <t>93-2960-000</t>
  </si>
  <si>
    <t>SG_{4691}_T</t>
  </si>
  <si>
    <t>Subtotal [LL.06]</t>
  </si>
  <si>
    <t>SG_{4691}_T_B</t>
  </si>
  <si>
    <t>SG_{4702}</t>
  </si>
  <si>
    <t>Subgroup : [LL.07]</t>
  </si>
  <si>
    <t>Subscriptions Receivable</t>
  </si>
  <si>
    <t>AD_{101}</t>
  </si>
  <si>
    <t>01-2935-000</t>
  </si>
  <si>
    <t>SUBSCRIPTIONS RECEIVABLE</t>
  </si>
  <si>
    <t>SG_{4702}_T</t>
  </si>
  <si>
    <t>Subtotal [LL.07]</t>
  </si>
  <si>
    <t>SG_{4702}_T_B</t>
  </si>
  <si>
    <t>SG_{4670}</t>
  </si>
  <si>
    <t>SB_{4670}_T</t>
  </si>
  <si>
    <t>G_{4670}_T</t>
  </si>
  <si>
    <t>Total [LL]</t>
  </si>
  <si>
    <t>G_{4670}_T_B</t>
  </si>
  <si>
    <t>G_{4669}</t>
  </si>
  <si>
    <t>Group : [AA]</t>
  </si>
  <si>
    <t>Long-Term Debt</t>
  </si>
  <si>
    <t>SG_{4684}</t>
  </si>
  <si>
    <t>Subgroup : [AA.01]</t>
  </si>
  <si>
    <t>Current Portion of LTD</t>
  </si>
  <si>
    <t>AD_{90}</t>
  </si>
  <si>
    <t>01-2540-000</t>
  </si>
  <si>
    <t>CURRENT PORTION - BWR LOAN</t>
  </si>
  <si>
    <t>AD_{392}</t>
  </si>
  <si>
    <t>30-2300-000</t>
  </si>
  <si>
    <t>CURRENT PORTION NOTES PAYABLE</t>
  </si>
  <si>
    <t>SG_{4684}_T</t>
  </si>
  <si>
    <t>Subtotal [AA.01]</t>
  </si>
  <si>
    <t>SG_{4684}_T_B</t>
  </si>
  <si>
    <t>SG_{4685}</t>
  </si>
  <si>
    <t>Subgroup : [AA.02]</t>
  </si>
  <si>
    <t>Long-Term debt</t>
  </si>
  <si>
    <t>AD_{85}</t>
  </si>
  <si>
    <t>01-2110-002</t>
  </si>
  <si>
    <t>CORNER CANYON NOTE</t>
  </si>
  <si>
    <t>AD_{92}</t>
  </si>
  <si>
    <t>01-2810-000</t>
  </si>
  <si>
    <t>BWR LOAN #2</t>
  </si>
  <si>
    <t>AD_{93}</t>
  </si>
  <si>
    <t>01-2810-001</t>
  </si>
  <si>
    <t>TREATMENT PLANT STATE LOAN</t>
  </si>
  <si>
    <t>AD_{94}</t>
  </si>
  <si>
    <t>01-2810-002</t>
  </si>
  <si>
    <t>FIRST UTAH-LITTLE VALLEY LOAN</t>
  </si>
  <si>
    <t>AD_{870}</t>
  </si>
  <si>
    <t>01-2810-003</t>
  </si>
  <si>
    <t>NEW LOAN</t>
  </si>
  <si>
    <t>AD_{1992}</t>
  </si>
  <si>
    <t>01-2810-004</t>
  </si>
  <si>
    <t>First Utah Loan Vac-Truck</t>
  </si>
  <si>
    <t>AD_{2123}</t>
  </si>
  <si>
    <t>01-2810-005</t>
  </si>
  <si>
    <t>STATE LOAN - IRRIGATION METERS</t>
  </si>
  <si>
    <t>AD_{2124}</t>
  </si>
  <si>
    <t>01-2810-006</t>
  </si>
  <si>
    <t>STATE LOAN - REUSE PIPE LINE</t>
  </si>
  <si>
    <t>AD_{95}</t>
  </si>
  <si>
    <t>01-2810-010</t>
  </si>
  <si>
    <t>LESS CURRECNT PORTION OF NOTES</t>
  </si>
  <si>
    <t>AD_{749}</t>
  </si>
  <si>
    <t>30-1230-010</t>
  </si>
  <si>
    <t>DODGE 1500 (2) LOANS</t>
  </si>
  <si>
    <t>AD_{393}</t>
  </si>
  <si>
    <t>30-2300-001</t>
  </si>
  <si>
    <t>VEHICLE NOT PAYABLE-FIRST UTAH</t>
  </si>
  <si>
    <t>AD_{394}</t>
  </si>
  <si>
    <t>30-2300-002</t>
  </si>
  <si>
    <t>HEAVY EQUIPMENT PAYABLE</t>
  </si>
  <si>
    <t>AD_{395}</t>
  </si>
  <si>
    <t>30-2300-003</t>
  </si>
  <si>
    <t>TRACKHOE LOAN</t>
  </si>
  <si>
    <t>AD_{760}</t>
  </si>
  <si>
    <t>30-2300-006</t>
  </si>
  <si>
    <t>FIRST UTAH LOAN</t>
  </si>
  <si>
    <t>AD_{397}</t>
  </si>
  <si>
    <t>30-2300-010</t>
  </si>
  <si>
    <t>LESS:CURRENT PORTION OF N/P</t>
  </si>
  <si>
    <t>SG_{4685}_T</t>
  </si>
  <si>
    <t>Subtotal [AA.02]</t>
  </si>
  <si>
    <t>SG_{4685}_T_B</t>
  </si>
  <si>
    <t>SG_{4669}</t>
  </si>
  <si>
    <t>SB_{4669}_T</t>
  </si>
  <si>
    <t>G_{4669}_T</t>
  </si>
  <si>
    <t>Total [AA]</t>
  </si>
  <si>
    <t>G_{4669}_T_B</t>
  </si>
  <si>
    <t>G_{4728}</t>
  </si>
  <si>
    <t>Group : [BB]</t>
  </si>
  <si>
    <t>Accounts Payable &amp; Accrued Liabilities</t>
  </si>
  <si>
    <t>SG_{4682}</t>
  </si>
  <si>
    <t>Subgroup : [BB.01]</t>
  </si>
  <si>
    <t>Franchise tax payable</t>
  </si>
  <si>
    <t>AD_{173}</t>
  </si>
  <si>
    <t>20-2105-000</t>
  </si>
  <si>
    <t>DRAPER FRANCHISE PAYABLE</t>
  </si>
  <si>
    <t>SG_{4682}_T</t>
  </si>
  <si>
    <t>Subtotal [BB.01]</t>
  </si>
  <si>
    <t>SG_{4682}_T_B</t>
  </si>
  <si>
    <t>SG_{4683}</t>
  </si>
  <si>
    <t>Subgroup : [BB.02]</t>
  </si>
  <si>
    <t>Acounts Payable</t>
  </si>
  <si>
    <t>AD_{84}</t>
  </si>
  <si>
    <t>01-2110-000</t>
  </si>
  <si>
    <t>ACCOUNTS PAYABLE</t>
  </si>
  <si>
    <t>AD_{88}</t>
  </si>
  <si>
    <t>01-2195-000</t>
  </si>
  <si>
    <t>CONTRACT PAYABLE</t>
  </si>
  <si>
    <t>AD_{174}</t>
  </si>
  <si>
    <t>20-2110-000</t>
  </si>
  <si>
    <t>AD_{358}</t>
  </si>
  <si>
    <t>30-2110-000</t>
  </si>
  <si>
    <t>AD_{359}</t>
  </si>
  <si>
    <t>30-2113-000</t>
  </si>
  <si>
    <t>RESERVE FOR ENCUMBRANCES</t>
  </si>
  <si>
    <t>AD_{360}</t>
  </si>
  <si>
    <t>30-2115-000</t>
  </si>
  <si>
    <t>A/P - WATER</t>
  </si>
  <si>
    <t>AD_{391}</t>
  </si>
  <si>
    <t>30-2215-000</t>
  </si>
  <si>
    <t>Deposits</t>
  </si>
  <si>
    <t>AD_{396}</t>
  </si>
  <si>
    <t>30-2300-005</t>
  </si>
  <si>
    <t>F150 EMPLOYEE PAYABLE</t>
  </si>
  <si>
    <t>SG_{4683}_T</t>
  </si>
  <si>
    <t>Subtotal [BB.02]</t>
  </si>
  <si>
    <t>SG_{4683}_T_B</t>
  </si>
  <si>
    <t>SG_{4743}</t>
  </si>
  <si>
    <t>Subgroup : [BB.03]</t>
  </si>
  <si>
    <t>Accrued Liabilities</t>
  </si>
  <si>
    <t>AD_{83}</t>
  </si>
  <si>
    <t>01-2100-000</t>
  </si>
  <si>
    <t>TREASURY STOCK PAYABLE</t>
  </si>
  <si>
    <t>AD_{89}</t>
  </si>
  <si>
    <t>01-2196-000</t>
  </si>
  <si>
    <t>CONSTRUCTION RETAINAGE PAYABLE</t>
  </si>
  <si>
    <t>AD_{771}</t>
  </si>
  <si>
    <t>01-2200-000</t>
  </si>
  <si>
    <t>PROPERTY TAXES PAYABLE</t>
  </si>
  <si>
    <t>AD_{91}</t>
  </si>
  <si>
    <t>01-2560-000</t>
  </si>
  <si>
    <t>CONTINGENT LIABILITIES</t>
  </si>
  <si>
    <t>AD_{177}</t>
  </si>
  <si>
    <t>20-2195-000</t>
  </si>
  <si>
    <t>CONTRACTS PAYABLE</t>
  </si>
  <si>
    <t>AD_{178}</t>
  </si>
  <si>
    <t>20-2520-000</t>
  </si>
  <si>
    <t>HYDRANT METER DEPOSITS</t>
  </si>
  <si>
    <t>AD_{179}</t>
  </si>
  <si>
    <t>20-2560-000</t>
  </si>
  <si>
    <t>AD_{363}</t>
  </si>
  <si>
    <t>30-2135-000</t>
  </si>
  <si>
    <t>WAGES PAYABLE</t>
  </si>
  <si>
    <t>AD_{364}</t>
  </si>
  <si>
    <t>30-2136-000</t>
  </si>
  <si>
    <t>VACATION PAYABLE</t>
  </si>
  <si>
    <t>AD_{365}</t>
  </si>
  <si>
    <t>30-2137-000</t>
  </si>
  <si>
    <t>SICK LEAVE PAYABLE</t>
  </si>
  <si>
    <t>AD_{366}</t>
  </si>
  <si>
    <t>30-2140-000</t>
  </si>
  <si>
    <t>FICA PAYABLE</t>
  </si>
  <si>
    <t>AD_{367}</t>
  </si>
  <si>
    <t>30-2145-000</t>
  </si>
  <si>
    <t>401K PAYABLE</t>
  </si>
  <si>
    <t>AD_{368}</t>
  </si>
  <si>
    <t>30-2148-000</t>
  </si>
  <si>
    <t>FLEXIBLE SPENDING</t>
  </si>
  <si>
    <t>AD_{369}</t>
  </si>
  <si>
    <t>30-2150-000</t>
  </si>
  <si>
    <t>FEDERAL W/H PAYABLE</t>
  </si>
  <si>
    <t>AD_{370}</t>
  </si>
  <si>
    <t>30-2151-000</t>
  </si>
  <si>
    <t>DEPOSITS PAYABLE</t>
  </si>
  <si>
    <t>AD_{371}</t>
  </si>
  <si>
    <t>30-2155-000</t>
  </si>
  <si>
    <t>STATE W/H PAYABLE</t>
  </si>
  <si>
    <t>AD_{372}</t>
  </si>
  <si>
    <t>30-2160-000</t>
  </si>
  <si>
    <t>AFLAC INSURANCE PAYABLE</t>
  </si>
  <si>
    <t>AD_{373}</t>
  </si>
  <si>
    <t>30-2165-000</t>
  </si>
  <si>
    <t>SPA MEMBERSHIP</t>
  </si>
  <si>
    <t>AD_{374}</t>
  </si>
  <si>
    <t>30-2170-000</t>
  </si>
  <si>
    <t>LT &amp; ST DISABLITY INS. PAYABLE</t>
  </si>
  <si>
    <t>AD_{375}</t>
  </si>
  <si>
    <t>30-2175-000</t>
  </si>
  <si>
    <t>LIFE INSURANCE PAYABLE</t>
  </si>
  <si>
    <t>AD_{376}</t>
  </si>
  <si>
    <t>30-2180-000</t>
  </si>
  <si>
    <t>MEDICAL INSURANCE PAYABLE</t>
  </si>
  <si>
    <t>AD_{377}</t>
  </si>
  <si>
    <t>30-2183-000</t>
  </si>
  <si>
    <t>SUTA Payable</t>
  </si>
  <si>
    <t>AD_{378}</t>
  </si>
  <si>
    <t>30-2184-000</t>
  </si>
  <si>
    <t>FUTA PAYABLE</t>
  </si>
  <si>
    <t>AD_{379}</t>
  </si>
  <si>
    <t>30-2185-000</t>
  </si>
  <si>
    <t>WORKERS COMPENSATION PAYABLE</t>
  </si>
  <si>
    <t>AD_{380}</t>
  </si>
  <si>
    <t>30-2190-000</t>
  </si>
  <si>
    <t>MISC DEDUCTIONS PAYABLE</t>
  </si>
  <si>
    <t>AD_{381}</t>
  </si>
  <si>
    <t>30-2190-001</t>
  </si>
  <si>
    <t>EMPLOYEE PAYABLE</t>
  </si>
  <si>
    <t>AD_{382}</t>
  </si>
  <si>
    <t>30-2190-002</t>
  </si>
  <si>
    <t>EMPLOYEE PAYABLE 5500.00</t>
  </si>
  <si>
    <t>AD_{383}</t>
  </si>
  <si>
    <t>30-2195-000</t>
  </si>
  <si>
    <t>AD_{384}</t>
  </si>
  <si>
    <t>30-2200-000</t>
  </si>
  <si>
    <t>Customer Bonds</t>
  </si>
  <si>
    <t>AD_{385}</t>
  </si>
  <si>
    <t>30-2200-001</t>
  </si>
  <si>
    <t>LYNN NELSON CONST BOND</t>
  </si>
  <si>
    <t>AD_{386}</t>
  </si>
  <si>
    <t>30-2200-002</t>
  </si>
  <si>
    <t>GREENWOOD/DPR FRAM BOND</t>
  </si>
  <si>
    <t>AD_{387}</t>
  </si>
  <si>
    <t>30-2200-004</t>
  </si>
  <si>
    <t>WASHBURN SUB BOND</t>
  </si>
  <si>
    <t>AD_{388}</t>
  </si>
  <si>
    <t>30-2205-000</t>
  </si>
  <si>
    <t>INCOME TAX PAYABLE - FED</t>
  </si>
  <si>
    <t>AD_{389}</t>
  </si>
  <si>
    <t>30-2210-000</t>
  </si>
  <si>
    <t>INCOME TAX PAYBALE - STATE</t>
  </si>
  <si>
    <t>AD_{390}</t>
  </si>
  <si>
    <t>30-2210-001</t>
  </si>
  <si>
    <t>Income Taxes Payable-Federal</t>
  </si>
  <si>
    <t>AD_{398}</t>
  </si>
  <si>
    <t>30-2560-000</t>
  </si>
  <si>
    <t>SG_{4743}_T</t>
  </si>
  <si>
    <t>Subtotal [BB.03]</t>
  </si>
  <si>
    <t>SG_{4743}_T_B</t>
  </si>
  <si>
    <t>SG_{4744}</t>
  </si>
  <si>
    <t>Subgroup : [BB.04]</t>
  </si>
  <si>
    <t>Accured Interest</t>
  </si>
  <si>
    <t>AD_{96}</t>
  </si>
  <si>
    <t>01-2815-000</t>
  </si>
  <si>
    <t>SG_{4744}_T</t>
  </si>
  <si>
    <t>Subtotal [BB.04]</t>
  </si>
  <si>
    <t>SG_{4744}_T_B</t>
  </si>
  <si>
    <t>SG_{4728}</t>
  </si>
  <si>
    <t>SB_{4728}_T</t>
  </si>
  <si>
    <t>G_{4728}_T</t>
  </si>
  <si>
    <t>Total [BB]</t>
  </si>
  <si>
    <t>G_{4728}_T_B</t>
  </si>
  <si>
    <t>G_{4733}</t>
  </si>
  <si>
    <t>Group : [OO]</t>
  </si>
  <si>
    <t>Revenue</t>
  </si>
  <si>
    <t>SG_{4734}</t>
  </si>
  <si>
    <t>Subgroup : [OO.10]</t>
  </si>
  <si>
    <t>Base Sales</t>
  </si>
  <si>
    <t>AD_{109}</t>
  </si>
  <si>
    <t>01-3100-121</t>
  </si>
  <si>
    <t>MONTHLY BASE SALES</t>
  </si>
  <si>
    <t>AD_{110}</t>
  </si>
  <si>
    <t>01-3100-122</t>
  </si>
  <si>
    <t>ACREAGE SALES</t>
  </si>
  <si>
    <t>AD_{188}</t>
  </si>
  <si>
    <t>20-3500-121</t>
  </si>
  <si>
    <t>AD_{189}</t>
  </si>
  <si>
    <t>20-3500-123</t>
  </si>
  <si>
    <t>METERED RATE SALES</t>
  </si>
  <si>
    <t>SG_{4734}_T</t>
  </si>
  <si>
    <t>Subtotal [OO.10]</t>
  </si>
  <si>
    <t>SG_{4734}_T_B</t>
  </si>
  <si>
    <t>SG_{4735}</t>
  </si>
  <si>
    <t>Connection Fees</t>
  </si>
  <si>
    <t>AD_{114}</t>
  </si>
  <si>
    <t>01-3400-141</t>
  </si>
  <si>
    <t>METER SET FEE</t>
  </si>
  <si>
    <t>AD_{195}</t>
  </si>
  <si>
    <t>20-3700-151</t>
  </si>
  <si>
    <t>HYDRANT METER RENTAL FEE</t>
  </si>
  <si>
    <t>AD_{196}</t>
  </si>
  <si>
    <t>20-3700-161</t>
  </si>
  <si>
    <t>LITTLE VALLEY IMPROVEMENTS</t>
  </si>
  <si>
    <t>AD_{199}</t>
  </si>
  <si>
    <t>20-3700-171</t>
  </si>
  <si>
    <t>SG_{4735}_T</t>
  </si>
  <si>
    <t>SG_{4735}_T_B</t>
  </si>
  <si>
    <t>SG_{4736}</t>
  </si>
  <si>
    <t>Wholesale Culinary</t>
  </si>
  <si>
    <t>AD_{191}</t>
  </si>
  <si>
    <t>20-3500-125</t>
  </si>
  <si>
    <t>CONSTRUCTION WATER SALES</t>
  </si>
  <si>
    <t>SG_{4736}_T</t>
  </si>
  <si>
    <t>SG_{4736}_T_B</t>
  </si>
  <si>
    <t>SG_{4737}</t>
  </si>
  <si>
    <t>Product and Service Sales</t>
  </si>
  <si>
    <t>AD_{405}</t>
  </si>
  <si>
    <t>30-4000-132</t>
  </si>
  <si>
    <t>CONTRACT SALES -RELATED -DWS</t>
  </si>
  <si>
    <t>AD_{406}</t>
  </si>
  <si>
    <t>30-4000-136</t>
  </si>
  <si>
    <t>CONTRACT SALES -RELATED -DIC</t>
  </si>
  <si>
    <t>AD_{407}</t>
  </si>
  <si>
    <t>30-4050-201</t>
  </si>
  <si>
    <t>CONTRACT SALES -3RD PARTY -EM</t>
  </si>
  <si>
    <t>AD_{408}</t>
  </si>
  <si>
    <t>30-4050-202</t>
  </si>
  <si>
    <t>CONTRACT SALES -3RD PARTY -SS</t>
  </si>
  <si>
    <t>AD_{409}</t>
  </si>
  <si>
    <t>30-4050-203</t>
  </si>
  <si>
    <t>CONTRACT SALES -3RD PARTY -OM</t>
  </si>
  <si>
    <t>AD_{410}</t>
  </si>
  <si>
    <t>30-4100-301</t>
  </si>
  <si>
    <t>SOFTWARE PACKAGE SALES</t>
  </si>
  <si>
    <t>AD_{411}</t>
  </si>
  <si>
    <t>30-4200-302</t>
  </si>
  <si>
    <t>JOINT VENTURE DESIGN INCOME</t>
  </si>
  <si>
    <t>AD_{412}</t>
  </si>
  <si>
    <t>30-4300-398</t>
  </si>
  <si>
    <t>INSPECTION FEES/NEW DEV</t>
  </si>
  <si>
    <t>AD_{413}</t>
  </si>
  <si>
    <t>30-4300-399</t>
  </si>
  <si>
    <t>CONSTRUCTION OTHER SALES</t>
  </si>
  <si>
    <t>AD_{414}</t>
  </si>
  <si>
    <t>30-4400-311</t>
  </si>
  <si>
    <t>FILTER BOTTLE SALES</t>
  </si>
  <si>
    <t>AD_{415}</t>
  </si>
  <si>
    <t>30-4400-312</t>
  </si>
  <si>
    <t>COUNTER FILTER SALES</t>
  </si>
  <si>
    <t>AD_{416}</t>
  </si>
  <si>
    <t>30-4400-313</t>
  </si>
  <si>
    <t>SHOWER HEAD FILTER SALES</t>
  </si>
  <si>
    <t>AD_{417}</t>
  </si>
  <si>
    <t>30-4400-321</t>
  </si>
  <si>
    <t>JUMPER SALES</t>
  </si>
  <si>
    <t>AD_{418}</t>
  </si>
  <si>
    <t>30-4400-331</t>
  </si>
  <si>
    <t>PROBE SALES</t>
  </si>
  <si>
    <t>AD_{419}</t>
  </si>
  <si>
    <t>30-4400-341</t>
  </si>
  <si>
    <t>SPEC MATER - EXTENSION SALES</t>
  </si>
  <si>
    <t>AD_{420}</t>
  </si>
  <si>
    <t>30-4400-342</t>
  </si>
  <si>
    <t>SPECIFICATION CD SALES</t>
  </si>
  <si>
    <t>AD_{421}</t>
  </si>
  <si>
    <t>30-4400-351</t>
  </si>
  <si>
    <t>MISCELLANEOUS SALES</t>
  </si>
  <si>
    <t>AD_{422}</t>
  </si>
  <si>
    <t>30-4400-361</t>
  </si>
  <si>
    <t>SALES TAX</t>
  </si>
  <si>
    <t>AD_{424}</t>
  </si>
  <si>
    <t>30-4500-399</t>
  </si>
  <si>
    <t>OTHER SERVICE SALES</t>
  </si>
  <si>
    <t>AD_{426}</t>
  </si>
  <si>
    <t>30-4600-372</t>
  </si>
  <si>
    <t>LATE CHARGES</t>
  </si>
  <si>
    <t>AD_{427}</t>
  </si>
  <si>
    <t>30-4600-373</t>
  </si>
  <si>
    <t>SHUTOFF NONPAYMENT</t>
  </si>
  <si>
    <t>AD_{428}</t>
  </si>
  <si>
    <t>30-4600-375</t>
  </si>
  <si>
    <t>STOCK ASSESSMENT FEE</t>
  </si>
  <si>
    <t>AD_{429}</t>
  </si>
  <si>
    <t>30-4600-378</t>
  </si>
  <si>
    <t>LATE FEE</t>
  </si>
  <si>
    <t>AD_{430}</t>
  </si>
  <si>
    <t>30-4600-380</t>
  </si>
  <si>
    <t>SMHOA FEE</t>
  </si>
  <si>
    <t>SG_{4737}_T</t>
  </si>
  <si>
    <t>SG_{4737}_T_B</t>
  </si>
  <si>
    <t>SG_{4738}</t>
  </si>
  <si>
    <t>Other Revenue</t>
  </si>
  <si>
    <t>AD_{111}</t>
  </si>
  <si>
    <t>01-3100-123</t>
  </si>
  <si>
    <t>METERED SALES</t>
  </si>
  <si>
    <t>AD_{112}</t>
  </si>
  <si>
    <t>01-3200-131</t>
  </si>
  <si>
    <t>SLCWCD RAW WATER SALES</t>
  </si>
  <si>
    <t>AD_{113}</t>
  </si>
  <si>
    <t>01-3200-132</t>
  </si>
  <si>
    <t>DWS RAW WATER SALES</t>
  </si>
  <si>
    <t>AD_{190}</t>
  </si>
  <si>
    <t>20-3500-124</t>
  </si>
  <si>
    <t>CONSERVATION INCOME</t>
  </si>
  <si>
    <t>AD_{192}</t>
  </si>
  <si>
    <t>20-3500-126</t>
  </si>
  <si>
    <t>HYDRANT WATER SALES</t>
  </si>
  <si>
    <t>AD_{193}</t>
  </si>
  <si>
    <t>20-3600-133</t>
  </si>
  <si>
    <t>PUMP ELECTRIC SALES - SO MTN</t>
  </si>
  <si>
    <t>AD_{194}</t>
  </si>
  <si>
    <t>20-3600-134</t>
  </si>
  <si>
    <t>PUMP ELECTRIC SALSES COVE @ BC</t>
  </si>
  <si>
    <t>AD_{197}</t>
  </si>
  <si>
    <t>20-3700-162</t>
  </si>
  <si>
    <t>UNAUTHORIZED USE-TAMPERING FEE</t>
  </si>
  <si>
    <t>AD_{200}</t>
  </si>
  <si>
    <t>20-3700-172</t>
  </si>
  <si>
    <t>METER FLOW TEST FEE</t>
  </si>
  <si>
    <t>AD_{201}</t>
  </si>
  <si>
    <t>20-3700-173</t>
  </si>
  <si>
    <t>METER RELOCATION FEE</t>
  </si>
  <si>
    <t>AD_{203}</t>
  </si>
  <si>
    <t>20-3800-135</t>
  </si>
  <si>
    <t>WHOLESALE CUL SALES - DRAPER</t>
  </si>
  <si>
    <t>AD_{236}</t>
  </si>
  <si>
    <t>20-8700-987</t>
  </si>
  <si>
    <t>SURPLUS PROPERTY SALES</t>
  </si>
  <si>
    <t>SG_{4738}_T</t>
  </si>
  <si>
    <t>SG_{4738}_T_B</t>
  </si>
  <si>
    <t>SG_{4733}</t>
  </si>
  <si>
    <t>SB_{4733}_T</t>
  </si>
  <si>
    <t>G_{4733}_T</t>
  </si>
  <si>
    <t>Total [OO]</t>
  </si>
  <si>
    <t>G_{4733}_T_B</t>
  </si>
  <si>
    <t>G_{4672}</t>
  </si>
  <si>
    <t>SG_{4706}</t>
  </si>
  <si>
    <t>AD_{115}</t>
  </si>
  <si>
    <t>01-5200-001</t>
  </si>
  <si>
    <t>IRRIGATION WATER EXPENSE</t>
  </si>
  <si>
    <t>AD_{204}</t>
  </si>
  <si>
    <t>20-5300-001</t>
  </si>
  <si>
    <t>CULINARY WATER EXPENSE</t>
  </si>
  <si>
    <t>AD_{205}</t>
  </si>
  <si>
    <t>20-5300-130</t>
  </si>
  <si>
    <t>SLCWCD EXPENSE - readded,casel</t>
  </si>
  <si>
    <t>AD_{206}</t>
  </si>
  <si>
    <t>20-5500-001</t>
  </si>
  <si>
    <t>PUMP ELECTRIC EXPENSE</t>
  </si>
  <si>
    <t>AD_{207}</t>
  </si>
  <si>
    <t>20-5600-129</t>
  </si>
  <si>
    <t>SUBSIDY EXPENSE</t>
  </si>
  <si>
    <t>AD_{240}</t>
  </si>
  <si>
    <t>20-9100-001</t>
  </si>
  <si>
    <t>SYSTEM EXPENSE</t>
  </si>
  <si>
    <t>AD_{431}</t>
  </si>
  <si>
    <t>30-5200-001</t>
  </si>
  <si>
    <t>AD_{432}</t>
  </si>
  <si>
    <t>30-5200-011</t>
  </si>
  <si>
    <t>METRO (PEPPERWOOD) EXPENSE</t>
  </si>
  <si>
    <t>AD_{433}</t>
  </si>
  <si>
    <t>30-5200-012</t>
  </si>
  <si>
    <t>METRO (CORNER CANYON) EXPENSE</t>
  </si>
  <si>
    <t>AD_{434}</t>
  </si>
  <si>
    <t>30-5200-014</t>
  </si>
  <si>
    <t>CORNER CANYON EXPENSE</t>
  </si>
  <si>
    <t>AD_{435}</t>
  </si>
  <si>
    <t>30-5200-021</t>
  </si>
  <si>
    <t>ELECTRIC IRRIGATION EXPENSE</t>
  </si>
  <si>
    <t>AD_{436}</t>
  </si>
  <si>
    <t>30-5200-022</t>
  </si>
  <si>
    <t>ASSOCIATED CANALS EXPENSE</t>
  </si>
  <si>
    <t>AD_{437}</t>
  </si>
  <si>
    <t>30-5200-023</t>
  </si>
  <si>
    <t>EAST JORDAN CANAL EXPENSE</t>
  </si>
  <si>
    <t>AD_{438}</t>
  </si>
  <si>
    <t>30-5200-024</t>
  </si>
  <si>
    <t>SANDY CANAL REIMBURSEMENT</t>
  </si>
  <si>
    <t>AD_{439}</t>
  </si>
  <si>
    <t>30-5200-025</t>
  </si>
  <si>
    <t>STATE ENGINEER EXPENSE</t>
  </si>
  <si>
    <t>AD_{440}</t>
  </si>
  <si>
    <t>30-5200-999</t>
  </si>
  <si>
    <t>TREATABLE IRR EXPENSE BILLED</t>
  </si>
  <si>
    <t>AD_{441}</t>
  </si>
  <si>
    <t>30-5400-001</t>
  </si>
  <si>
    <t>TREATABLE CULINARY EXPENSE</t>
  </si>
  <si>
    <t>AD_{442}</t>
  </si>
  <si>
    <t>30-5400-013</t>
  </si>
  <si>
    <t>TREATABLE CUL EXPENSE - METRO</t>
  </si>
  <si>
    <t>AD_{443}</t>
  </si>
  <si>
    <t>30-5400-100</t>
  </si>
  <si>
    <t>TREATABLE CUL EXPENSE - DIC</t>
  </si>
  <si>
    <t>AD_{444}</t>
  </si>
  <si>
    <t>30-5400-115</t>
  </si>
  <si>
    <t>AD_{445}</t>
  </si>
  <si>
    <t>30-5400-120</t>
  </si>
  <si>
    <t>CONTROL SWITCH UPGRADES</t>
  </si>
  <si>
    <t>AD_{446}</t>
  </si>
  <si>
    <t>30-5400-121</t>
  </si>
  <si>
    <t>ELECTRIC CULINARY EXPENSE</t>
  </si>
  <si>
    <t>AD_{447}</t>
  </si>
  <si>
    <t>30-5400-122</t>
  </si>
  <si>
    <t>MOUNTAIN FUEL CULINARY EXPENSE</t>
  </si>
  <si>
    <t>AD_{448}</t>
  </si>
  <si>
    <t>30-5400-123</t>
  </si>
  <si>
    <t>LABORATORY EXPENSE</t>
  </si>
  <si>
    <t>AD_{449}</t>
  </si>
  <si>
    <t>30-5400-124</t>
  </si>
  <si>
    <t>CHEMICAL EXPENSE</t>
  </si>
  <si>
    <t>AD_{450}</t>
  </si>
  <si>
    <t>30-5400-130</t>
  </si>
  <si>
    <t>RETAILABLE CUL EXPENSE -SLCWCD</t>
  </si>
  <si>
    <t>AD_{451}</t>
  </si>
  <si>
    <t>30-5400-135</t>
  </si>
  <si>
    <t>RETAILABLE CUL EXPENSE -DRAPER</t>
  </si>
  <si>
    <t>AD_{452}</t>
  </si>
  <si>
    <t>30-5400-999</t>
  </si>
  <si>
    <t>TREATABLE CUL EXPENSE BILLED</t>
  </si>
  <si>
    <t>AD_{453}</t>
  </si>
  <si>
    <t>30-5500-133</t>
  </si>
  <si>
    <t>PUMP ELECTRIC EXPENSE - SO MTN</t>
  </si>
  <si>
    <t>AD_{454}</t>
  </si>
  <si>
    <t>30-5500-134</t>
  </si>
  <si>
    <t>PUMP ELECTRIC EXPENSE -COVE@BC</t>
  </si>
  <si>
    <t>AD_{455}</t>
  </si>
  <si>
    <t>30-5500-999</t>
  </si>
  <si>
    <t>PUMP ELEC EXPENSE BILLED</t>
  </si>
  <si>
    <t>AD_{456}</t>
  </si>
  <si>
    <t>30-5810-200</t>
  </si>
  <si>
    <t>EM -PERSONNEL BURDEN EXPENSE</t>
  </si>
  <si>
    <t>AD_{457}</t>
  </si>
  <si>
    <t>30-5810-201</t>
  </si>
  <si>
    <t>EM - PERSON - OP -REG -EXPENSE</t>
  </si>
  <si>
    <t>AD_{458}</t>
  </si>
  <si>
    <t>30-5810-202</t>
  </si>
  <si>
    <t>EM -PERSON -OP -OT - EXPENSE</t>
  </si>
  <si>
    <t>AD_{714}</t>
  </si>
  <si>
    <t>30-5810-203</t>
  </si>
  <si>
    <t>EM -PERSON -BUS -REG -EXPENSE</t>
  </si>
  <si>
    <t>AD_{715}</t>
  </si>
  <si>
    <t>30-5810-204</t>
  </si>
  <si>
    <t>EM -PERSON -BUS -OT -EXPENSE</t>
  </si>
  <si>
    <t>AD_{716}</t>
  </si>
  <si>
    <t>30-5810-205</t>
  </si>
  <si>
    <t>EM -PERSON -DEV -REG -EXPENSE</t>
  </si>
  <si>
    <t>AD_{717}</t>
  </si>
  <si>
    <t>30-5810-206</t>
  </si>
  <si>
    <t>EM -PERSON -DEV -OT -EXPENSE</t>
  </si>
  <si>
    <t>AD_{718}</t>
  </si>
  <si>
    <t>30-5810-207</t>
  </si>
  <si>
    <t>EM -UTILITIES EXPENSE</t>
  </si>
  <si>
    <t>AD_{459}</t>
  </si>
  <si>
    <t>30-5810-208</t>
  </si>
  <si>
    <t>EM -OPERATION (SOFTWARE) EXPEN</t>
  </si>
  <si>
    <t>AD_{460}</t>
  </si>
  <si>
    <t>30-5810-209</t>
  </si>
  <si>
    <t>EM -MAINTENANCE (MATERIAL) EXP</t>
  </si>
  <si>
    <t>AD_{461}</t>
  </si>
  <si>
    <t>30-5810-210</t>
  </si>
  <si>
    <t>EM- EQUIPMENT BURDEN EXPENSE</t>
  </si>
  <si>
    <t>AD_{462}</t>
  </si>
  <si>
    <t>30-5810-211</t>
  </si>
  <si>
    <t>EM -PROFESSIONAL EXPENSE</t>
  </si>
  <si>
    <t>AD_{463}</t>
  </si>
  <si>
    <t>30-5820-200</t>
  </si>
  <si>
    <t>SS -PERSONNEL BURDEN EXPENSE</t>
  </si>
  <si>
    <t>AD_{464}</t>
  </si>
  <si>
    <t>30-5820-201</t>
  </si>
  <si>
    <t>SS -PERSON -OP -REG -EXPENSE</t>
  </si>
  <si>
    <t>AD_{465}</t>
  </si>
  <si>
    <t>30-5820-202</t>
  </si>
  <si>
    <t>SS -PERSON - OP -OT - EXPENSE</t>
  </si>
  <si>
    <t>AD_{719}</t>
  </si>
  <si>
    <t>30-5820-203</t>
  </si>
  <si>
    <t>SS -PERSON -BUS -REG -EXPENSE</t>
  </si>
  <si>
    <t>AD_{720}</t>
  </si>
  <si>
    <t>30-5820-204</t>
  </si>
  <si>
    <t>SS -PERSON -BUS - OT - EXPENSE</t>
  </si>
  <si>
    <t>AD_{466}</t>
  </si>
  <si>
    <t>30-5820-205</t>
  </si>
  <si>
    <t>SS -PERSON -DEV - REG -EXPENSE</t>
  </si>
  <si>
    <t>AD_{721}</t>
  </si>
  <si>
    <t>30-5820-206</t>
  </si>
  <si>
    <t>SS -PERSON -DEV -OT -EXPENSE</t>
  </si>
  <si>
    <t>AD_{467}</t>
  </si>
  <si>
    <t>30-5820-207</t>
  </si>
  <si>
    <t>SS -UTILITIES EXPENSE</t>
  </si>
  <si>
    <t>AD_{722}</t>
  </si>
  <si>
    <t>30-5820-208</t>
  </si>
  <si>
    <t>SS -OPERATION (SOFTWARE) EXPEN</t>
  </si>
  <si>
    <t>AD_{468}</t>
  </si>
  <si>
    <t>30-5820-209</t>
  </si>
  <si>
    <t>SS -MAINTENANCE (MATERIAL) EXP</t>
  </si>
  <si>
    <t>AD_{469}</t>
  </si>
  <si>
    <t>30-5820-210</t>
  </si>
  <si>
    <t>SS -EQUIPMENT BURDEN EXPENSE</t>
  </si>
  <si>
    <t>AD_{470}</t>
  </si>
  <si>
    <t>30-5820-211</t>
  </si>
  <si>
    <t>SS -PROFESSIONAL EXPENSE</t>
  </si>
  <si>
    <t>AD_{471}</t>
  </si>
  <si>
    <t>30-5830-200</t>
  </si>
  <si>
    <t>OM -PERSONNEL BURDEN EXPENSE</t>
  </si>
  <si>
    <t>AD_{472}</t>
  </si>
  <si>
    <t>30-5830-201</t>
  </si>
  <si>
    <t>OM -PERSON -OP REG -EXPENSE</t>
  </si>
  <si>
    <t>AD_{473}</t>
  </si>
  <si>
    <t>30-5830-202</t>
  </si>
  <si>
    <t>OM -PERSON -OP -OT -EXPENSE</t>
  </si>
  <si>
    <t>AD_{474}</t>
  </si>
  <si>
    <t>30-5830-203</t>
  </si>
  <si>
    <t>OM -PERSON -BUS -REG -EXPENSE</t>
  </si>
  <si>
    <t>AD_{475}</t>
  </si>
  <si>
    <t>30-5830-204</t>
  </si>
  <si>
    <t>OM -PERSON -BUS -OT -EXPENSE</t>
  </si>
  <si>
    <t>AD_{476}</t>
  </si>
  <si>
    <t>30-5830-205</t>
  </si>
  <si>
    <t>OM -PERSON -DEV -REG -EXPENSE</t>
  </si>
  <si>
    <t>AD_{477}</t>
  </si>
  <si>
    <t>30-5830-206</t>
  </si>
  <si>
    <t>0M -PERSON -DEV -OT -EXPENSE</t>
  </si>
  <si>
    <t>AD_{478}</t>
  </si>
  <si>
    <t>30-5830-207</t>
  </si>
  <si>
    <t>OM -UTLITIES EXPENSE</t>
  </si>
  <si>
    <t>AD_{479}</t>
  </si>
  <si>
    <t>30-5830-208</t>
  </si>
  <si>
    <t>OM -OPERATION (SOFTWARE) EXPEN</t>
  </si>
  <si>
    <t>AD_{480}</t>
  </si>
  <si>
    <t>30-5830-209</t>
  </si>
  <si>
    <t>OM -MAINTENANCE (MATERIAL) EXP</t>
  </si>
  <si>
    <t>AD_{481}</t>
  </si>
  <si>
    <t>30-5830-210</t>
  </si>
  <si>
    <t>OM -EQUIPMENT BURDEN EXPENSE</t>
  </si>
  <si>
    <t>AD_{482}</t>
  </si>
  <si>
    <t>30-5830-211</t>
  </si>
  <si>
    <t>OM -PROFESSIONAL EXPENSE</t>
  </si>
  <si>
    <t>AD_{735}</t>
  </si>
  <si>
    <t>30-6800-201</t>
  </si>
  <si>
    <t>PRODUCT - OPERATION WAGES</t>
  </si>
  <si>
    <t>AD_{736}</t>
  </si>
  <si>
    <t>30-6800-202</t>
  </si>
  <si>
    <t>PRODUCT - BUSINESS WAGES</t>
  </si>
  <si>
    <t>AD_{737}</t>
  </si>
  <si>
    <t>30-6800-203</t>
  </si>
  <si>
    <t>PRODUCT - DEVELOPMENT WAGES</t>
  </si>
  <si>
    <t>AD_{738}</t>
  </si>
  <si>
    <t>30-6800-204</t>
  </si>
  <si>
    <t>PRODUCT - PERSONNEL BURDEN EXP</t>
  </si>
  <si>
    <t>AD_{739}</t>
  </si>
  <si>
    <t>30-6800-205</t>
  </si>
  <si>
    <t>PRODUCT - EQUIP BURDEN/RENT EX</t>
  </si>
  <si>
    <t>AD_{740}</t>
  </si>
  <si>
    <t>30-6800-311</t>
  </si>
  <si>
    <t>FILTER BOTTLES EXPENSE</t>
  </si>
  <si>
    <t>AD_{741}</t>
  </si>
  <si>
    <t>30-6800-312</t>
  </si>
  <si>
    <t>HOME FILTERS EXPENSE</t>
  </si>
  <si>
    <t>AD_{742}</t>
  </si>
  <si>
    <t>30-6800-313</t>
  </si>
  <si>
    <t>FILTER SHOWER HEAD EXPENSE</t>
  </si>
  <si>
    <t>AD_{490}</t>
  </si>
  <si>
    <t>30-6800-321</t>
  </si>
  <si>
    <t>JUMPER EXPENSE</t>
  </si>
  <si>
    <t>AD_{743}</t>
  </si>
  <si>
    <t>30-6800-331</t>
  </si>
  <si>
    <t>PROBE EXPENSE</t>
  </si>
  <si>
    <t>AD_{494}</t>
  </si>
  <si>
    <t>30-6800-361</t>
  </si>
  <si>
    <t>INCOME TAX EXPENSE</t>
  </si>
  <si>
    <t>SG_{4706}_T</t>
  </si>
  <si>
    <t>SG_{4706}_T_B</t>
  </si>
  <si>
    <t>SG_{4672}</t>
  </si>
  <si>
    <t>SB_{4672}_T</t>
  </si>
  <si>
    <t>G_{4672}_T</t>
  </si>
  <si>
    <t>G_{4672}_T_B</t>
  </si>
  <si>
    <t>AD_{116}</t>
  </si>
  <si>
    <t>01-7100-001</t>
  </si>
  <si>
    <t>PROFESSIONAL EXPENSE</t>
  </si>
  <si>
    <t>AD_{208}</t>
  </si>
  <si>
    <t>20-7100-001</t>
  </si>
  <si>
    <t>AD_{507}</t>
  </si>
  <si>
    <t>30-7100-400</t>
  </si>
  <si>
    <t>PROFESSIONAL DUE'S</t>
  </si>
  <si>
    <t>AD_{508}</t>
  </si>
  <si>
    <t>30-7100-401</t>
  </si>
  <si>
    <t>MANAGEMENT EXPENSE</t>
  </si>
  <si>
    <t>AD_{510}</t>
  </si>
  <si>
    <t>30-7100-405</t>
  </si>
  <si>
    <t>DIRECTOR EXPENSE</t>
  </si>
  <si>
    <t>AD_{511}</t>
  </si>
  <si>
    <t>30-7100-406</t>
  </si>
  <si>
    <t>DRAPER CHAMBER EXPENSE</t>
  </si>
  <si>
    <t>AD_{512}</t>
  </si>
  <si>
    <t>30-7100-407</t>
  </si>
  <si>
    <t>CONSERVATION EXPENSE</t>
  </si>
  <si>
    <t>AD_{513}</t>
  </si>
  <si>
    <t>30-7100-410</t>
  </si>
  <si>
    <t>GENERAL ENGINEERING EXPENSE</t>
  </si>
  <si>
    <t>AD_{514}</t>
  </si>
  <si>
    <t>30-7100-411</t>
  </si>
  <si>
    <t>GENERAL ENGINEER EXPENSE - DIC</t>
  </si>
  <si>
    <t>AD_{515}</t>
  </si>
  <si>
    <t>30-7100-412</t>
  </si>
  <si>
    <t>GENERAL ENGINEER EXPENSE - DWS</t>
  </si>
  <si>
    <t>AD_{516}</t>
  </si>
  <si>
    <t>30-7100-415</t>
  </si>
  <si>
    <t>DATA PROCESSING EXPENSE</t>
  </si>
  <si>
    <t>AD_{519}</t>
  </si>
  <si>
    <t>30-7100-420</t>
  </si>
  <si>
    <t>LEGAL EXPENSE</t>
  </si>
  <si>
    <t>AD_{520}</t>
  </si>
  <si>
    <t>30-7100-421</t>
  </si>
  <si>
    <t>LEGAL EXPENSE - DIC</t>
  </si>
  <si>
    <t>AD_{521}</t>
  </si>
  <si>
    <t>30-7100-422</t>
  </si>
  <si>
    <t>LEGAL EXPENSE - DWS</t>
  </si>
  <si>
    <t>AD_{524}</t>
  </si>
  <si>
    <t>30-7100-427</t>
  </si>
  <si>
    <t>PUBLIC SERVICE COMMISSION EXP</t>
  </si>
  <si>
    <t>AD_{525}</t>
  </si>
  <si>
    <t>30-7100-430</t>
  </si>
  <si>
    <t>ACCOUNTING EXPENSE</t>
  </si>
  <si>
    <t>AD_{526}</t>
  </si>
  <si>
    <t>30-7100-431</t>
  </si>
  <si>
    <t>ACCOUNTING EXPENSE - DIC</t>
  </si>
  <si>
    <t>AD_{527}</t>
  </si>
  <si>
    <t>30-7100-432</t>
  </si>
  <si>
    <t>ACCOUNTING EXPENSE - DWS</t>
  </si>
  <si>
    <t>AD_{528}</t>
  </si>
  <si>
    <t>30-7100-435</t>
  </si>
  <si>
    <t>ADVERTISING/PR EXPENSE</t>
  </si>
  <si>
    <t>AD_{529}</t>
  </si>
  <si>
    <t>30-7100-436</t>
  </si>
  <si>
    <t>AERIAL PHOTOS</t>
  </si>
  <si>
    <t>AD_{530}</t>
  </si>
  <si>
    <t>30-7100-437</t>
  </si>
  <si>
    <t>GIS FUNDING</t>
  </si>
  <si>
    <t>AD_{531}</t>
  </si>
  <si>
    <t>30-7100-440</t>
  </si>
  <si>
    <t>MEALS/ENTERTAINMENT EXPENSE</t>
  </si>
  <si>
    <t>AD_{532}</t>
  </si>
  <si>
    <t>30-7100-441</t>
  </si>
  <si>
    <t>COMPANY MEETINGS/FUCTIONS</t>
  </si>
  <si>
    <t>AD_{533}</t>
  </si>
  <si>
    <t>30-7100-442</t>
  </si>
  <si>
    <t>EMPLOYEE CONCIL &amp; SAFETY</t>
  </si>
  <si>
    <t>AD_{534}</t>
  </si>
  <si>
    <t>30-7100-999</t>
  </si>
  <si>
    <t>PROFESSIONAL EXPENSE BILLED</t>
  </si>
  <si>
    <t>AD_{684}</t>
  </si>
  <si>
    <t>30-9100-986</t>
  </si>
  <si>
    <t>SUBDIVISION ENGINEERING EXP</t>
  </si>
  <si>
    <t>AD_{685}</t>
  </si>
  <si>
    <t>30-9100-999</t>
  </si>
  <si>
    <t>SYSTEM EXPENSE BILLED</t>
  </si>
  <si>
    <t>AD_{117}</t>
  </si>
  <si>
    <t>01-7100-400</t>
  </si>
  <si>
    <t>ALLOCATED MANAGEMENT EXPENSE</t>
  </si>
  <si>
    <t>AD_{119}</t>
  </si>
  <si>
    <t>01-7200-451</t>
  </si>
  <si>
    <t>BANK CHARGES/FEES</t>
  </si>
  <si>
    <t>AD_{120}</t>
  </si>
  <si>
    <t>01-7500-501</t>
  </si>
  <si>
    <t>ALLOCATED OPERATION WAGES</t>
  </si>
  <si>
    <t>AD_{121}</t>
  </si>
  <si>
    <t>01-7600-501</t>
  </si>
  <si>
    <t>ALLOCATED BUSINESS WAGES</t>
  </si>
  <si>
    <t>AD_{122}</t>
  </si>
  <si>
    <t>01-7700-501</t>
  </si>
  <si>
    <t>ALLOCATED DEVELOPMENT WAGES</t>
  </si>
  <si>
    <t>AD_{123}</t>
  </si>
  <si>
    <t>01-7750-501</t>
  </si>
  <si>
    <t>ALLOCATED BENEFIT EXPENSE</t>
  </si>
  <si>
    <t>AD_{124}</t>
  </si>
  <si>
    <t>01-7900-600</t>
  </si>
  <si>
    <t>ALLOCATED EQUIP/TRANSPORT EXP</t>
  </si>
  <si>
    <t>AD_{125}</t>
  </si>
  <si>
    <t>01-8200-771</t>
  </si>
  <si>
    <t>ALLOCATED UTILITIES EXPENSE</t>
  </si>
  <si>
    <t>AD_{126}</t>
  </si>
  <si>
    <t>01-8300-790</t>
  </si>
  <si>
    <t>DIC BAD DEBT EXPENSE</t>
  </si>
  <si>
    <t>AD_{127}</t>
  </si>
  <si>
    <t>01-8300-791</t>
  </si>
  <si>
    <t>ALLOCATED OPERATION EXPENSE</t>
  </si>
  <si>
    <t>AD_{128}</t>
  </si>
  <si>
    <t>01-8400-921</t>
  </si>
  <si>
    <t>ALLOCATED EXCAVATION FEES</t>
  </si>
  <si>
    <t>AD_{129}</t>
  </si>
  <si>
    <t>01-8400-926</t>
  </si>
  <si>
    <t>ALLOCATED SOURCE MAINT EXPENSE</t>
  </si>
  <si>
    <t>AD_{130}</t>
  </si>
  <si>
    <t>01-8400-931</t>
  </si>
  <si>
    <t>ALLOCATED PLANT MAINT EXPENSE</t>
  </si>
  <si>
    <t>AD_{131}</t>
  </si>
  <si>
    <t>01-8400-936</t>
  </si>
  <si>
    <t>ALLOCATED RESERVOIR MAINT EXP</t>
  </si>
  <si>
    <t>AD_{132}</t>
  </si>
  <si>
    <t>01-8400-941</t>
  </si>
  <si>
    <t>ALLOCATED LINE MAINT EXPENSE</t>
  </si>
  <si>
    <t>AD_{133}</t>
  </si>
  <si>
    <t>01-8400-946</t>
  </si>
  <si>
    <t>ALLOCATED METER MAINT EXPENSE</t>
  </si>
  <si>
    <t>AD_{134}</t>
  </si>
  <si>
    <t>01-8400-951</t>
  </si>
  <si>
    <t>ALLOCATED BOWOFF MAINT EXPENSE</t>
  </si>
  <si>
    <t>AD_{135}</t>
  </si>
  <si>
    <t>01-8400-956</t>
  </si>
  <si>
    <t>ALLOCATED VALVE MAINT EXPENSE</t>
  </si>
  <si>
    <t>AD_{136}</t>
  </si>
  <si>
    <t>01-8400-961</t>
  </si>
  <si>
    <t>ALLOCATED BUILDING MAINT EXPEN</t>
  </si>
  <si>
    <t>AD_{137}</t>
  </si>
  <si>
    <t>01-8400-966</t>
  </si>
  <si>
    <t>ALLOCATED MATERIAL EXPENSE</t>
  </si>
  <si>
    <t>AD_{151}</t>
  </si>
  <si>
    <t>01-9100-001</t>
  </si>
  <si>
    <t>AD_{152}</t>
  </si>
  <si>
    <t>01-9600-996</t>
  </si>
  <si>
    <t>PROPERTY TAXES</t>
  </si>
  <si>
    <t>AD_{209}</t>
  </si>
  <si>
    <t>20-7100-400</t>
  </si>
  <si>
    <t>AD_{211}</t>
  </si>
  <si>
    <t>20-7200-451</t>
  </si>
  <si>
    <t>AD_{212}</t>
  </si>
  <si>
    <t>20-7500-501</t>
  </si>
  <si>
    <t>AD_{213}</t>
  </si>
  <si>
    <t>20-7600-501</t>
  </si>
  <si>
    <t>AD_{214}</t>
  </si>
  <si>
    <t>20-7700-501</t>
  </si>
  <si>
    <t>AD_{215}</t>
  </si>
  <si>
    <t>20-7750-501</t>
  </si>
  <si>
    <t>AD_{216}</t>
  </si>
  <si>
    <t>20-7900-600</t>
  </si>
  <si>
    <t>AD_{217}</t>
  </si>
  <si>
    <t>20-8200-771</t>
  </si>
  <si>
    <t>AD_{218}</t>
  </si>
  <si>
    <t>20-8300-791</t>
  </si>
  <si>
    <t>AD_{750}</t>
  </si>
  <si>
    <t>20-8300-911</t>
  </si>
  <si>
    <t>DWS BAD DEBT EXPENSE</t>
  </si>
  <si>
    <t>AD_{219}</t>
  </si>
  <si>
    <t>20-8400-921</t>
  </si>
  <si>
    <t>ALLOCATED EXCAVATION EXPENSE</t>
  </si>
  <si>
    <t>AD_{220}</t>
  </si>
  <si>
    <t>20-8400-926</t>
  </si>
  <si>
    <t>AD_{221}</t>
  </si>
  <si>
    <t>20-8400-931</t>
  </si>
  <si>
    <t>AD_{222}</t>
  </si>
  <si>
    <t>20-8400-936</t>
  </si>
  <si>
    <t>AD_{223}</t>
  </si>
  <si>
    <t>20-8400-941</t>
  </si>
  <si>
    <t>AD_{224}</t>
  </si>
  <si>
    <t>20-8400-946</t>
  </si>
  <si>
    <t>AD_{225}</t>
  </si>
  <si>
    <t>20-8400-951</t>
  </si>
  <si>
    <t>ALLOCATED HYDRANT MAINT EXPENS</t>
  </si>
  <si>
    <t>AD_{226}</t>
  </si>
  <si>
    <t>20-8400-956</t>
  </si>
  <si>
    <t>AD_{227}</t>
  </si>
  <si>
    <t>20-8400-961</t>
  </si>
  <si>
    <t>AD_{228}</t>
  </si>
  <si>
    <t>20-8400-966</t>
  </si>
  <si>
    <t>AD_{423}</t>
  </si>
  <si>
    <t>30-4500-390</t>
  </si>
  <si>
    <t>CORNER CANYON PAYMENTS</t>
  </si>
  <si>
    <t>AD_{723}</t>
  </si>
  <si>
    <t>30-6500-201</t>
  </si>
  <si>
    <t>PACKAGE OPERATION WAGES</t>
  </si>
  <si>
    <t>AD_{724}</t>
  </si>
  <si>
    <t>30-6500-202</t>
  </si>
  <si>
    <t>PACKAGE - BUSINESS WAGES</t>
  </si>
  <si>
    <t>AD_{725}</t>
  </si>
  <si>
    <t>30-6500-203</t>
  </si>
  <si>
    <t>PACKAGE - DEVELOPMENT WAGES</t>
  </si>
  <si>
    <t>AD_{726}</t>
  </si>
  <si>
    <t>30-6500-204</t>
  </si>
  <si>
    <t>PACKAGE - PERSONNEL BURDEN EXP</t>
  </si>
  <si>
    <t>AD_{727}</t>
  </si>
  <si>
    <t>30-6500-205</t>
  </si>
  <si>
    <t>PACKAGE - EQUIP RENTAL EXPENSE</t>
  </si>
  <si>
    <t>AD_{728}</t>
  </si>
  <si>
    <t>30-6500-301</t>
  </si>
  <si>
    <t>PACKAGE EXPENSE</t>
  </si>
  <si>
    <t>AD_{729}</t>
  </si>
  <si>
    <t>30-6600-201</t>
  </si>
  <si>
    <t>DESIGN - OPERATION WAGES</t>
  </si>
  <si>
    <t>AD_{730}</t>
  </si>
  <si>
    <t>30-6600-202</t>
  </si>
  <si>
    <t>DESIGN - BUSINESS WAGES</t>
  </si>
  <si>
    <t>AD_{731}</t>
  </si>
  <si>
    <t>30-6600-203</t>
  </si>
  <si>
    <t>DESIGN - DEVELOPMENT WAGES</t>
  </si>
  <si>
    <t>AD_{732}</t>
  </si>
  <si>
    <t>30-6600-204</t>
  </si>
  <si>
    <t>DESIGN - PERSONNEL BURDEN EXP</t>
  </si>
  <si>
    <t>AD_{733}</t>
  </si>
  <si>
    <t>30-6600-205</t>
  </si>
  <si>
    <t>DESIGN -EQUIP BURDEN/RENT EXP</t>
  </si>
  <si>
    <t>AD_{734}</t>
  </si>
  <si>
    <t>30-6600-302</t>
  </si>
  <si>
    <t>DESIGN EXPENSE</t>
  </si>
  <si>
    <t>AD_{483}</t>
  </si>
  <si>
    <t>30-6700-201</t>
  </si>
  <si>
    <t>OTHER - OPERATION WAGES</t>
  </si>
  <si>
    <t>AD_{484}</t>
  </si>
  <si>
    <t>30-6700-202</t>
  </si>
  <si>
    <t>OTHER - BUSINESS WAGES</t>
  </si>
  <si>
    <t>AD_{485}</t>
  </si>
  <si>
    <t>30-6700-203</t>
  </si>
  <si>
    <t>OTHER - DEVELOPMENT WAGES</t>
  </si>
  <si>
    <t>AD_{486}</t>
  </si>
  <si>
    <t>30-6700-204</t>
  </si>
  <si>
    <t>OTHER - PERSONNEL BURDEN EXPEN</t>
  </si>
  <si>
    <t>AD_{487}</t>
  </si>
  <si>
    <t>30-6700-205</t>
  </si>
  <si>
    <t>OTHER - EQUIP BURDEN/RENT EXP</t>
  </si>
  <si>
    <t>AD_{488}</t>
  </si>
  <si>
    <t>30-6700-399</t>
  </si>
  <si>
    <t>MATERIAL AND OTHER CONST EXP</t>
  </si>
  <si>
    <t>AD_{489}</t>
  </si>
  <si>
    <t>30-6700-999</t>
  </si>
  <si>
    <t>CONSTRUCTION EXPENSE BILLED</t>
  </si>
  <si>
    <t>AD_{491}</t>
  </si>
  <si>
    <t>30-6800-341</t>
  </si>
  <si>
    <t>EXTENSION AGREEMENT EXPENSE</t>
  </si>
  <si>
    <t>AD_{492}</t>
  </si>
  <si>
    <t>30-6800-342</t>
  </si>
  <si>
    <t>SPECIFICATION CD EXPENSE</t>
  </si>
  <si>
    <t>AD_{493}</t>
  </si>
  <si>
    <t>30-6800-351</t>
  </si>
  <si>
    <t>OTHER TAXABLE PRODUCT SALES</t>
  </si>
  <si>
    <t>AD_{495}</t>
  </si>
  <si>
    <t>30-6900-201</t>
  </si>
  <si>
    <t>SERVICE - OPERATION WAGES</t>
  </si>
  <si>
    <t>AD_{496}</t>
  </si>
  <si>
    <t>30-6900-202</t>
  </si>
  <si>
    <t>SERVICE - BUSINESS WAGES</t>
  </si>
  <si>
    <t>AD_{497}</t>
  </si>
  <si>
    <t>30-6900-203</t>
  </si>
  <si>
    <t>SERVICE - DEVELOPMENT WAGES</t>
  </si>
  <si>
    <t>AD_{498}</t>
  </si>
  <si>
    <t>30-6900-204</t>
  </si>
  <si>
    <t>SERVICE - PERSONNEL BURDEN EXP</t>
  </si>
  <si>
    <t>AD_{499}</t>
  </si>
  <si>
    <t>30-6900-205</t>
  </si>
  <si>
    <t>SERVICE - EQUIP BURDEN/RENT EX</t>
  </si>
  <si>
    <t>AD_{500}</t>
  </si>
  <si>
    <t>30-6900-399</t>
  </si>
  <si>
    <t>OTHER SERVICE SALES EXPENSE</t>
  </si>
  <si>
    <t>AD_{501}</t>
  </si>
  <si>
    <t>30-7000-201</t>
  </si>
  <si>
    <t>FINANCIAL - OPERATION WAGES</t>
  </si>
  <si>
    <t>AD_{502}</t>
  </si>
  <si>
    <t>30-7000-202</t>
  </si>
  <si>
    <t>FINANCIAL - BUSINESS WAGES</t>
  </si>
  <si>
    <t>AD_{503}</t>
  </si>
  <si>
    <t>30-7000-203</t>
  </si>
  <si>
    <t>FINANCIAL - DEVELOPMENT WAGES</t>
  </si>
  <si>
    <t>AD_{504}</t>
  </si>
  <si>
    <t>30-7000-204</t>
  </si>
  <si>
    <t>FINANCIAL - PERSONNEL BURDEN</t>
  </si>
  <si>
    <t>AD_{505}</t>
  </si>
  <si>
    <t>30-7000-205</t>
  </si>
  <si>
    <t>FINANCIAL - EQUP BURDEN/RENT</t>
  </si>
  <si>
    <t>AD_{509}</t>
  </si>
  <si>
    <t>30-7100-404</t>
  </si>
  <si>
    <t>LOBBYIST EXPENSE</t>
  </si>
  <si>
    <t>AD_{517}</t>
  </si>
  <si>
    <t>30-7100-416</t>
  </si>
  <si>
    <t>WATERSHED PROTECTION</t>
  </si>
  <si>
    <t>AD_{518}</t>
  </si>
  <si>
    <t>30-7100-417</t>
  </si>
  <si>
    <t>MISC SOFTWARE EXPENSE</t>
  </si>
  <si>
    <t>AD_{522}</t>
  </si>
  <si>
    <t>30-7100-425</t>
  </si>
  <si>
    <t>CORNER CANYON LEAGEL</t>
  </si>
  <si>
    <t>AD_{523}</t>
  </si>
  <si>
    <t>30-7100-426</t>
  </si>
  <si>
    <t>AD_{536}</t>
  </si>
  <si>
    <t>30-7200-451</t>
  </si>
  <si>
    <t>AD_{538}</t>
  </si>
  <si>
    <t>30-7500-502</t>
  </si>
  <si>
    <t>OP - WATERPRO REGULAR WAGES</t>
  </si>
  <si>
    <t>AD_{539}</t>
  </si>
  <si>
    <t>30-7500-503</t>
  </si>
  <si>
    <t>OP - WATERPRO OVERTIME WAGES</t>
  </si>
  <si>
    <t>AD_{540}</t>
  </si>
  <si>
    <t>30-7500-504</t>
  </si>
  <si>
    <t>OP - DIC REGULAR WAGES</t>
  </si>
  <si>
    <t>AD_{541}</t>
  </si>
  <si>
    <t>30-7500-505</t>
  </si>
  <si>
    <t>OP - DIC OVERTIME WAGES</t>
  </si>
  <si>
    <t>AD_{542}</t>
  </si>
  <si>
    <t>30-7500-506</t>
  </si>
  <si>
    <t>OP - DWS REGULAR WAGES</t>
  </si>
  <si>
    <t>AD_{543}</t>
  </si>
  <si>
    <t>30-7500-507</t>
  </si>
  <si>
    <t>OP - DWS OVERTIME WAGES</t>
  </si>
  <si>
    <t>AD_{544}</t>
  </si>
  <si>
    <t>30-7500-508</t>
  </si>
  <si>
    <t>OP - EAGLE MOUNTAIN REG. WAGES</t>
  </si>
  <si>
    <t>AD_{545}</t>
  </si>
  <si>
    <t>30-7500-509</t>
  </si>
  <si>
    <t>OP - EAGLE MNT OVERTIME WAGES</t>
  </si>
  <si>
    <t>AD_{546}</t>
  </si>
  <si>
    <t>30-7500-510</t>
  </si>
  <si>
    <t>OP - SARATOGA SPRNGS REG</t>
  </si>
  <si>
    <t>AD_{547}</t>
  </si>
  <si>
    <t>30-7500-511</t>
  </si>
  <si>
    <t>OP - SARATOGA SPRNGS OVTM WAGE</t>
  </si>
  <si>
    <t>AD_{548}</t>
  </si>
  <si>
    <t>30-7500-512</t>
  </si>
  <si>
    <t>OP - OQUIRRH MTN REG WAGES</t>
  </si>
  <si>
    <t>AD_{549}</t>
  </si>
  <si>
    <t>30-7500-513</t>
  </si>
  <si>
    <t>OP - OQUIRRH MTN OVERTIME</t>
  </si>
  <si>
    <t>AD_{550}</t>
  </si>
  <si>
    <t>30-7500-599</t>
  </si>
  <si>
    <t>OPERATION WAGES BILLED</t>
  </si>
  <si>
    <t>AD_{551}</t>
  </si>
  <si>
    <t>30-7600-502</t>
  </si>
  <si>
    <t>BUS - WATERPRO REG WAGES</t>
  </si>
  <si>
    <t>AD_{552}</t>
  </si>
  <si>
    <t>30-7600-503</t>
  </si>
  <si>
    <t>BUS - WATERPRO OVERTIME WAGES</t>
  </si>
  <si>
    <t>AD_{553}</t>
  </si>
  <si>
    <t>30-7600-504</t>
  </si>
  <si>
    <t>BUS - DIC REGULAR WAGES</t>
  </si>
  <si>
    <t>AD_{554}</t>
  </si>
  <si>
    <t>30-7600-505</t>
  </si>
  <si>
    <t>BUS - DIC OVERTIME WAGES</t>
  </si>
  <si>
    <t>AD_{555}</t>
  </si>
  <si>
    <t>30-7600-506</t>
  </si>
  <si>
    <t>BUS - DWS REGULAR WAGES</t>
  </si>
  <si>
    <t>AD_{556}</t>
  </si>
  <si>
    <t>30-7600-507</t>
  </si>
  <si>
    <t>BUS - DWS OVERTIME WAGES</t>
  </si>
  <si>
    <t>AD_{557}</t>
  </si>
  <si>
    <t>30-7600-508</t>
  </si>
  <si>
    <t>BUS - EAGLE MNT REG. WAGES</t>
  </si>
  <si>
    <t>AD_{558}</t>
  </si>
  <si>
    <t>30-7600-509</t>
  </si>
  <si>
    <t>BUS - EAGLE MNT OVRTIME WAGES</t>
  </si>
  <si>
    <t>AD_{559}</t>
  </si>
  <si>
    <t>30-7600-510</t>
  </si>
  <si>
    <t>BUS - SARATOGA SPRNGS REG WAGE</t>
  </si>
  <si>
    <t>AD_{560}</t>
  </si>
  <si>
    <t>30-7600-511</t>
  </si>
  <si>
    <t>BUS - SARATOGA SPRNGS OVTM WGS</t>
  </si>
  <si>
    <t>AD_{561}</t>
  </si>
  <si>
    <t>30-7600-512</t>
  </si>
  <si>
    <t>BUS - OQUIRRH MTN REGULAR WAGE</t>
  </si>
  <si>
    <t>AD_{562}</t>
  </si>
  <si>
    <t>30-7600-513</t>
  </si>
  <si>
    <t>BUS - OQUIRRH MTN OVERTIME</t>
  </si>
  <si>
    <t>AD_{563}</t>
  </si>
  <si>
    <t>30-7600-599</t>
  </si>
  <si>
    <t>BUSINESS WAGES BILLED</t>
  </si>
  <si>
    <t>AD_{564}</t>
  </si>
  <si>
    <t>30-7700-502</t>
  </si>
  <si>
    <t>DEV - WATERPRO REGULAR WAGES</t>
  </si>
  <si>
    <t>AD_{565}</t>
  </si>
  <si>
    <t>30-7700-503</t>
  </si>
  <si>
    <t>DEV - WATERPRO OVERTIME WAGES</t>
  </si>
  <si>
    <t>AD_{566}</t>
  </si>
  <si>
    <t>30-7700-504</t>
  </si>
  <si>
    <t>DEV - DIC REGUALR WAGES</t>
  </si>
  <si>
    <t>AD_{567}</t>
  </si>
  <si>
    <t>30-7700-505</t>
  </si>
  <si>
    <t>DEV - DIC OVERTIME WAGES</t>
  </si>
  <si>
    <t>AD_{568}</t>
  </si>
  <si>
    <t>30-7700-506</t>
  </si>
  <si>
    <t>DEV - DWS REGULAR WAGES</t>
  </si>
  <si>
    <t>AD_{569}</t>
  </si>
  <si>
    <t>30-7700-507</t>
  </si>
  <si>
    <t>DEV - DWS OVERTIME WAGES</t>
  </si>
  <si>
    <t>AD_{570}</t>
  </si>
  <si>
    <t>30-7700-508</t>
  </si>
  <si>
    <t>DEV - EAGLEW MNT REG. WAGES</t>
  </si>
  <si>
    <t>AD_{571}</t>
  </si>
  <si>
    <t>30-7700-509</t>
  </si>
  <si>
    <t>DEV - EAGLE MNT OVRTIME WAGES</t>
  </si>
  <si>
    <t>AD_{572}</t>
  </si>
  <si>
    <t>30-7700-510</t>
  </si>
  <si>
    <t>DEV - SARATOGA SPRGS REG WAGES</t>
  </si>
  <si>
    <t>AD_{573}</t>
  </si>
  <si>
    <t>30-7700-511</t>
  </si>
  <si>
    <t>DEV - SARATOGA SPRNGS OVTM WGS</t>
  </si>
  <si>
    <t>AD_{574}</t>
  </si>
  <si>
    <t>30-7700-512</t>
  </si>
  <si>
    <t>DEV - OQUIRRH MTN REGULAR WAGE</t>
  </si>
  <si>
    <t>AD_{575}</t>
  </si>
  <si>
    <t>30-7700-513</t>
  </si>
  <si>
    <t>DEV - OQUIRRH MTN OVERTIME</t>
  </si>
  <si>
    <t>AD_{576}</t>
  </si>
  <si>
    <t>30-7700-589</t>
  </si>
  <si>
    <t>DEV - DIRECTOR WAGES &amp; EXPENSE</t>
  </si>
  <si>
    <t>AD_{577}</t>
  </si>
  <si>
    <t>30-7700-599</t>
  </si>
  <si>
    <t>DEVELOPMENT WAGES BILLED</t>
  </si>
  <si>
    <t>AD_{744}</t>
  </si>
  <si>
    <t>30-7750-589</t>
  </si>
  <si>
    <t>AD_{578}</t>
  </si>
  <si>
    <t>30-7750-590</t>
  </si>
  <si>
    <t>FICA EXPENSE</t>
  </si>
  <si>
    <t>AD_{579}</t>
  </si>
  <si>
    <t>30-7750-591</t>
  </si>
  <si>
    <t>WORKERS COMP EXPENSE</t>
  </si>
  <si>
    <t>AD_{580}</t>
  </si>
  <si>
    <t>30-7750-592</t>
  </si>
  <si>
    <t>LIFE INSURANCE EXPENSE</t>
  </si>
  <si>
    <t>AD_{581}</t>
  </si>
  <si>
    <t>30-7750-593</t>
  </si>
  <si>
    <t>HEALTH INSURANCE EXPENSE</t>
  </si>
  <si>
    <t>AD_{582}</t>
  </si>
  <si>
    <t>30-7750-594</t>
  </si>
  <si>
    <t>401K/RETIREMENT EXPENSE</t>
  </si>
  <si>
    <t>AD_{583}</t>
  </si>
  <si>
    <t>30-7750-595</t>
  </si>
  <si>
    <t>SUTA EXPENSE</t>
  </si>
  <si>
    <t>AD_{584}</t>
  </si>
  <si>
    <t>30-7750-596</t>
  </si>
  <si>
    <t>VACATION WAGES</t>
  </si>
  <si>
    <t>AD_{585}</t>
  </si>
  <si>
    <t>30-7750-597</t>
  </si>
  <si>
    <t>SICK WAGES</t>
  </si>
  <si>
    <t>AD_{586}</t>
  </si>
  <si>
    <t>30-7750-598</t>
  </si>
  <si>
    <t>HOLIDAY WAGES</t>
  </si>
  <si>
    <t>AD_{587}</t>
  </si>
  <si>
    <t>30-7750-599</t>
  </si>
  <si>
    <t>WAGES BILLED</t>
  </si>
  <si>
    <t>AD_{588}</t>
  </si>
  <si>
    <t>30-7751-595</t>
  </si>
  <si>
    <t>FUTA EXPENSE</t>
  </si>
  <si>
    <t>AD_{589}</t>
  </si>
  <si>
    <t>30-7900-600</t>
  </si>
  <si>
    <t>VEHICLE LEASE/PURCHASE</t>
  </si>
  <si>
    <t>AD_{590}</t>
  </si>
  <si>
    <t>30-7900-605</t>
  </si>
  <si>
    <t>VEHICLE MAINTENANCE</t>
  </si>
  <si>
    <t>AD_{591}</t>
  </si>
  <si>
    <t>30-7900-610</t>
  </si>
  <si>
    <t>RENTAL EXPENSE</t>
  </si>
  <si>
    <t>AD_{745}</t>
  </si>
  <si>
    <t>30-7900-620</t>
  </si>
  <si>
    <t>VEHICLE INSURANCE EXPENSE</t>
  </si>
  <si>
    <t>AD_{592}</t>
  </si>
  <si>
    <t>30-7900-630</t>
  </si>
  <si>
    <t>LICENSE/REG EXPENSE</t>
  </si>
  <si>
    <t>AD_{593}</t>
  </si>
  <si>
    <t>30-7900-650</t>
  </si>
  <si>
    <t>GASOLINE/DIESEL EXPENSE</t>
  </si>
  <si>
    <t>AD_{594}</t>
  </si>
  <si>
    <t>30-7900-701</t>
  </si>
  <si>
    <t>MAINTENANCE - 510 BACKHOE EXP</t>
  </si>
  <si>
    <t>AD_{595}</t>
  </si>
  <si>
    <t>30-7900-702</t>
  </si>
  <si>
    <t>BACKHOE - 310</t>
  </si>
  <si>
    <t>AD_{596}</t>
  </si>
  <si>
    <t>30-7900-703</t>
  </si>
  <si>
    <t>TRAILER</t>
  </si>
  <si>
    <t>AD_{597}</t>
  </si>
  <si>
    <t>30-7900-704</t>
  </si>
  <si>
    <t>MAINTENANCE - DUMP TRUCK EXP</t>
  </si>
  <si>
    <t>AD_{598}</t>
  </si>
  <si>
    <t>30-7900-705</t>
  </si>
  <si>
    <t>96 FORD SERVICE TRUCK</t>
  </si>
  <si>
    <t>AD_{599}</t>
  </si>
  <si>
    <t>30-7900-706</t>
  </si>
  <si>
    <t>86 FORD SERVICE TRUCK</t>
  </si>
  <si>
    <t>AD_{600}</t>
  </si>
  <si>
    <t>30-7900-707</t>
  </si>
  <si>
    <t>95 FORD PICKUP - DEVELOPMENT</t>
  </si>
  <si>
    <t>AD_{601}</t>
  </si>
  <si>
    <t>30-7900-708</t>
  </si>
  <si>
    <t>86 GMC PICKUP - SEASONAL</t>
  </si>
  <si>
    <t>AD_{602}</t>
  </si>
  <si>
    <t>30-7900-709</t>
  </si>
  <si>
    <t>95 FORD PICKUP - FIELD</t>
  </si>
  <si>
    <t>AD_{603}</t>
  </si>
  <si>
    <t>30-7900-710</t>
  </si>
  <si>
    <t>93 FORD PICKUP - OPERATIONS</t>
  </si>
  <si>
    <t>AD_{604}</t>
  </si>
  <si>
    <t>30-7900-711</t>
  </si>
  <si>
    <t>96 FORD PICKUP - METER</t>
  </si>
  <si>
    <t>AD_{605}</t>
  </si>
  <si>
    <t>30-7900-712</t>
  </si>
  <si>
    <t>98 FORD ESCORT</t>
  </si>
  <si>
    <t>AD_{606}</t>
  </si>
  <si>
    <t>30-7900-713</t>
  </si>
  <si>
    <t>99 FORD PICKUP - PLANT</t>
  </si>
  <si>
    <t>AD_{607}</t>
  </si>
  <si>
    <t>30-7900-727</t>
  </si>
  <si>
    <t>EQUIPMENT MAINTENANCE</t>
  </si>
  <si>
    <t>AD_{609}</t>
  </si>
  <si>
    <t>30-7900-729</t>
  </si>
  <si>
    <t>EQUIP/TRANS EXPENSE BILLED</t>
  </si>
  <si>
    <t>AD_{610}</t>
  </si>
  <si>
    <t>30-8200-772</t>
  </si>
  <si>
    <t>TELEPHONE &amp; INTERNET EXPENSE</t>
  </si>
  <si>
    <t>AD_{611}</t>
  </si>
  <si>
    <t>30-8200-773</t>
  </si>
  <si>
    <t>CELLULAR EXPENSE</t>
  </si>
  <si>
    <t>AD_{612}</t>
  </si>
  <si>
    <t>30-8200-774</t>
  </si>
  <si>
    <t>RADIO EXPENSE</t>
  </si>
  <si>
    <t>AD_{613}</t>
  </si>
  <si>
    <t>30-8200-775</t>
  </si>
  <si>
    <t>ELECTRIC EXPENSE BUILDING</t>
  </si>
  <si>
    <t>AD_{614}</t>
  </si>
  <si>
    <t>30-8200-776</t>
  </si>
  <si>
    <t>MOUNTAIN FUEL BUILDING</t>
  </si>
  <si>
    <t>AD_{615}</t>
  </si>
  <si>
    <t>30-8200-777</t>
  </si>
  <si>
    <t>GARBAGE EXPENSE</t>
  </si>
  <si>
    <t>AD_{616}</t>
  </si>
  <si>
    <t>30-8200-778</t>
  </si>
  <si>
    <t>SEWER EXPENSE</t>
  </si>
  <si>
    <t>AD_{617}</t>
  </si>
  <si>
    <t>30-8200-779</t>
  </si>
  <si>
    <t>WATER EXPENSE</t>
  </si>
  <si>
    <t>AD_{618}</t>
  </si>
  <si>
    <t>30-8200-780</t>
  </si>
  <si>
    <t>INTERNET EXPENSE</t>
  </si>
  <si>
    <t>AD_{619}</t>
  </si>
  <si>
    <t>30-8200-789</t>
  </si>
  <si>
    <t>UTILITIES BILLED</t>
  </si>
  <si>
    <t>AD_{620}</t>
  </si>
  <si>
    <t>30-8300-750</t>
  </si>
  <si>
    <t>DONATIONS</t>
  </si>
  <si>
    <t>AD_{621}</t>
  </si>
  <si>
    <t>30-8300-752</t>
  </si>
  <si>
    <t>MISC. EMPLOYEE EXPENSE</t>
  </si>
  <si>
    <t>AD_{622}</t>
  </si>
  <si>
    <t>30-8300-755</t>
  </si>
  <si>
    <t>SOFTWARE UPGRADE/PURCHASE</t>
  </si>
  <si>
    <t>AD_{623}</t>
  </si>
  <si>
    <t>30-8300-790</t>
  </si>
  <si>
    <t>MAPPING SUPPLIES</t>
  </si>
  <si>
    <t>AD_{624}</t>
  </si>
  <si>
    <t>30-8300-792</t>
  </si>
  <si>
    <t>MAP/SURVEY/CITY PERMIT EXPENSE</t>
  </si>
  <si>
    <t>AD_{625}</t>
  </si>
  <si>
    <t>30-8300-793</t>
  </si>
  <si>
    <t>SCADA EXPENSE</t>
  </si>
  <si>
    <t>AD_{626}</t>
  </si>
  <si>
    <t>30-8300-794</t>
  </si>
  <si>
    <t>BLUE STAKE EXPENSE</t>
  </si>
  <si>
    <t>AD_{627}</t>
  </si>
  <si>
    <t>30-8300-801</t>
  </si>
  <si>
    <t>UNIFORM/LINEN EXPENSE</t>
  </si>
  <si>
    <t>AD_{628}</t>
  </si>
  <si>
    <t>30-8300-811</t>
  </si>
  <si>
    <t>SECURITY EXPENSE</t>
  </si>
  <si>
    <t>AD_{629}</t>
  </si>
  <si>
    <t>30-8300-821</t>
  </si>
  <si>
    <t>JANITORIAL EXPENSE</t>
  </si>
  <si>
    <t>AD_{630}</t>
  </si>
  <si>
    <t>30-8300-831</t>
  </si>
  <si>
    <t>OFFICE SUPPLIES EXPENSE</t>
  </si>
  <si>
    <t>AD_{631}</t>
  </si>
  <si>
    <t>30-8300-841</t>
  </si>
  <si>
    <t>SHOP SUPPLIES EXPENSE</t>
  </si>
  <si>
    <t>AD_{632}</t>
  </si>
  <si>
    <t>30-8300-842</t>
  </si>
  <si>
    <t>OP SAFETY/TOOL EQUIPMENT</t>
  </si>
  <si>
    <t>AD_{633}</t>
  </si>
  <si>
    <t>30-8300-851</t>
  </si>
  <si>
    <t>PRINTING EXPENSE</t>
  </si>
  <si>
    <t>AD_{634}</t>
  </si>
  <si>
    <t>30-8300-861</t>
  </si>
  <si>
    <t>POSTAGE EXPENSE</t>
  </si>
  <si>
    <t>AD_{635}</t>
  </si>
  <si>
    <t>30-8300-871</t>
  </si>
  <si>
    <t>OFFICE RENTAL/LEASE EXPENSE</t>
  </si>
  <si>
    <t>AD_{636}</t>
  </si>
  <si>
    <t>30-8300-880</t>
  </si>
  <si>
    <t>COLLEGE REIMBURSEMENT</t>
  </si>
  <si>
    <t>AD_{637}</t>
  </si>
  <si>
    <t>30-8300-881</t>
  </si>
  <si>
    <t>TRAINING/SCHOOL EXPENSE</t>
  </si>
  <si>
    <t>AD_{638}</t>
  </si>
  <si>
    <t>30-8300-882</t>
  </si>
  <si>
    <t>TRAVEL EXPENSE</t>
  </si>
  <si>
    <t>AD_{639}</t>
  </si>
  <si>
    <t>30-8300-891</t>
  </si>
  <si>
    <t>NON-VEHICLE INSURANCE EXPENSE</t>
  </si>
  <si>
    <t>AD_{640}</t>
  </si>
  <si>
    <t>30-8300-892</t>
  </si>
  <si>
    <t>DAMAGE SETTLEMENT/REIMBURSEMNT</t>
  </si>
  <si>
    <t>AD_{641}</t>
  </si>
  <si>
    <t>30-8300-901</t>
  </si>
  <si>
    <t>TITLE RESEARCH EXPENSE</t>
  </si>
  <si>
    <t>AD_{642}</t>
  </si>
  <si>
    <t>30-8300-911</t>
  </si>
  <si>
    <t>BAD DEBT EXPENSE</t>
  </si>
  <si>
    <t>AD_{643}</t>
  </si>
  <si>
    <t>30-8300-912</t>
  </si>
  <si>
    <t>MISC. AUDIT EQUIP/DEVELOPMENT</t>
  </si>
  <si>
    <t>AD_{644}</t>
  </si>
  <si>
    <t>30-8300-913</t>
  </si>
  <si>
    <t>TEMP LABOR EXPENSE</t>
  </si>
  <si>
    <t>AD_{645}</t>
  </si>
  <si>
    <t>30-8300-916</t>
  </si>
  <si>
    <t>OTHER MISCELLANEOUS EXPENSE</t>
  </si>
  <si>
    <t>AD_{646}</t>
  </si>
  <si>
    <t>30-8300-919</t>
  </si>
  <si>
    <t>OPERATIONS EXPENSE BILLED</t>
  </si>
  <si>
    <t>AD_{647}</t>
  </si>
  <si>
    <t>30-8400-838</t>
  </si>
  <si>
    <t>Reservoir Maint Expense - DWS</t>
  </si>
  <si>
    <t>AD_{648}</t>
  </si>
  <si>
    <t>30-8400-910</t>
  </si>
  <si>
    <t>NEW CONSTRUCTION-DWS</t>
  </si>
  <si>
    <t>AD_{649}</t>
  </si>
  <si>
    <t>30-8400-911</t>
  </si>
  <si>
    <t>NEW CONSTUSTION-DIC</t>
  </si>
  <si>
    <t>AD_{650}</t>
  </si>
  <si>
    <t>30-8400-915</t>
  </si>
  <si>
    <t>AD_{651}</t>
  </si>
  <si>
    <t>30-8400-922</t>
  </si>
  <si>
    <t>EXCAVATION/FILL MATERIAL - DIC</t>
  </si>
  <si>
    <t>AD_{652}</t>
  </si>
  <si>
    <t>30-8400-923</t>
  </si>
  <si>
    <t>EXCAVATION/FILL MATERIAL - DWS</t>
  </si>
  <si>
    <t>AD_{653}</t>
  </si>
  <si>
    <t>30-8400-927</t>
  </si>
  <si>
    <t>SOURCE MAINT EXPENSE - DIC</t>
  </si>
  <si>
    <t>AD_{654}</t>
  </si>
  <si>
    <t>30-8400-928</t>
  </si>
  <si>
    <t>SOURCE MAINT EXPENSE - DWS</t>
  </si>
  <si>
    <t>AD_{655}</t>
  </si>
  <si>
    <t>30-8400-932</t>
  </si>
  <si>
    <t>PLANT MAINT EXPENSE - DIC</t>
  </si>
  <si>
    <t>AD_{656}</t>
  </si>
  <si>
    <t>30-8400-933</t>
  </si>
  <si>
    <t>PLANT MAINTENANCE EXPENSE -DWS</t>
  </si>
  <si>
    <t>AD_{657}</t>
  </si>
  <si>
    <t>30-8400-937</t>
  </si>
  <si>
    <t>RESERVOIR MAINT EXPENSE - DIC</t>
  </si>
  <si>
    <t>AD_{658}</t>
  </si>
  <si>
    <t>30-8400-938</t>
  </si>
  <si>
    <t>RESERVOIR MAINT EXPENSE - DWS</t>
  </si>
  <si>
    <t>AD_{659}</t>
  </si>
  <si>
    <t>30-8400-940</t>
  </si>
  <si>
    <t>BACKFLOW/CROSS CONNECTION</t>
  </si>
  <si>
    <t>AD_{660}</t>
  </si>
  <si>
    <t>30-8400-942</t>
  </si>
  <si>
    <t>LINE MAINT EXPENSE - DIC</t>
  </si>
  <si>
    <t>AD_{661}</t>
  </si>
  <si>
    <t>30-8400-943</t>
  </si>
  <si>
    <t>LINE MAINT EXPENSE - DWS</t>
  </si>
  <si>
    <t>AD_{662}</t>
  </si>
  <si>
    <t>30-8400-947</t>
  </si>
  <si>
    <t>METER MAINT EXPENSE - DIC</t>
  </si>
  <si>
    <t>AD_{663}</t>
  </si>
  <si>
    <t>30-8400-948</t>
  </si>
  <si>
    <t>METER MAINT EXPENSE - DWS</t>
  </si>
  <si>
    <t>AD_{664}</t>
  </si>
  <si>
    <t>30-8400-949</t>
  </si>
  <si>
    <t>METER PURCHASES-DWS</t>
  </si>
  <si>
    <t>AD_{665}</t>
  </si>
  <si>
    <t>30-8400-950</t>
  </si>
  <si>
    <t>JUMPERS/RISERS/LIDS</t>
  </si>
  <si>
    <t>AD_{666}</t>
  </si>
  <si>
    <t>30-8400-951</t>
  </si>
  <si>
    <t>BLOWOFF MAINT EXPENSE - DIC</t>
  </si>
  <si>
    <t>AD_{667}</t>
  </si>
  <si>
    <t>30-8400-952</t>
  </si>
  <si>
    <t>HYDRANT MAINT EXPENSE - DWS</t>
  </si>
  <si>
    <t>AD_{1953}</t>
  </si>
  <si>
    <t>30-8400-953</t>
  </si>
  <si>
    <t>METER PURCHASES-DIC</t>
  </si>
  <si>
    <t>AD_{668}</t>
  </si>
  <si>
    <t>30-8400-957</t>
  </si>
  <si>
    <t>VALVE MAINT EXPENSE - DIC</t>
  </si>
  <si>
    <t>AD_{669}</t>
  </si>
  <si>
    <t>30-8400-958</t>
  </si>
  <si>
    <t>VALVE MAINT EXPENSE - DWS</t>
  </si>
  <si>
    <t>AD_{670}</t>
  </si>
  <si>
    <t>30-8400-962</t>
  </si>
  <si>
    <t>BUILDING MAINTENANCE EXPENSE</t>
  </si>
  <si>
    <t>AD_{671}</t>
  </si>
  <si>
    <t>30-8400-967</t>
  </si>
  <si>
    <t>EASEMENT SURVEY</t>
  </si>
  <si>
    <t>AD_{672}</t>
  </si>
  <si>
    <t>30-8400-968</t>
  </si>
  <si>
    <t>MAINTENANCE EXPENSE BILLED</t>
  </si>
  <si>
    <t>AD_{673}</t>
  </si>
  <si>
    <t>30-8400-978</t>
  </si>
  <si>
    <t>13EAST WELL-DWS</t>
  </si>
  <si>
    <t>AD_{686}</t>
  </si>
  <si>
    <t>30-9600-996</t>
  </si>
  <si>
    <t>AD_{687}</t>
  </si>
  <si>
    <t>30-9600-997</t>
  </si>
  <si>
    <t>NON-VEHICLE PERSONNEL PROP TAX</t>
  </si>
  <si>
    <t>AD_{690}</t>
  </si>
  <si>
    <t>30-9989-999</t>
  </si>
  <si>
    <t>OTHER M1 ADJUSTMENTS</t>
  </si>
  <si>
    <t>AD_{698}</t>
  </si>
  <si>
    <t>91-8300-202</t>
  </si>
  <si>
    <t>BAD DEBT</t>
  </si>
  <si>
    <t>AD_{705}</t>
  </si>
  <si>
    <t>92-8300-202</t>
  </si>
  <si>
    <t>AD_{711}</t>
  </si>
  <si>
    <t>93-3700-100</t>
  </si>
  <si>
    <t>UTILITY BILLS</t>
  </si>
  <si>
    <t>AD_{712}</t>
  </si>
  <si>
    <t>93-8300-202</t>
  </si>
  <si>
    <t>AD_{150}</t>
  </si>
  <si>
    <t>01-9000-974</t>
  </si>
  <si>
    <t>NON-VEHICLE DEPRECIATION EXP</t>
  </si>
  <si>
    <t>AD_{239}</t>
  </si>
  <si>
    <t>20-9000-974</t>
  </si>
  <si>
    <t>AD_{608}</t>
  </si>
  <si>
    <t>30-7900-728</t>
  </si>
  <si>
    <t>VEHICLE DEPRECIATION EXPENSE</t>
  </si>
  <si>
    <t>AD_{683}</t>
  </si>
  <si>
    <t>30-9000-974</t>
  </si>
  <si>
    <t>AD_{155}</t>
  </si>
  <si>
    <t>01-9900-999</t>
  </si>
  <si>
    <t>AD_{241}</t>
  </si>
  <si>
    <t>20-9600-996</t>
  </si>
  <si>
    <t>AD_{242}</t>
  </si>
  <si>
    <t>20-9600-997</t>
  </si>
  <si>
    <t>AD_{243}</t>
  </si>
  <si>
    <t>20-9600-998</t>
  </si>
  <si>
    <t>TAX PENALTY EXPENSE</t>
  </si>
  <si>
    <t>AD_{244}</t>
  </si>
  <si>
    <t>20-9900-999</t>
  </si>
  <si>
    <t>AD_{697}</t>
  </si>
  <si>
    <t>91-3700-100</t>
  </si>
  <si>
    <t>AD_{704}</t>
  </si>
  <si>
    <t>92-3700-100</t>
  </si>
  <si>
    <t>AD_{139}</t>
  </si>
  <si>
    <t>01-8500-972</t>
  </si>
  <si>
    <t>INTEREST INCOME</t>
  </si>
  <si>
    <t>AD_{140}</t>
  </si>
  <si>
    <t>01-8500-973</t>
  </si>
  <si>
    <t>DIVIDEND INCOME</t>
  </si>
  <si>
    <t>AD_{229}</t>
  </si>
  <si>
    <t>20-8500-972</t>
  </si>
  <si>
    <t>AD_{230}</t>
  </si>
  <si>
    <t>20-8500-973</t>
  </si>
  <si>
    <t>AD_{674}</t>
  </si>
  <si>
    <t>30-8500-972</t>
  </si>
  <si>
    <t>AD_{675}</t>
  </si>
  <si>
    <t>30-8500-973</t>
  </si>
  <si>
    <t>AD_{676}</t>
  </si>
  <si>
    <t>30-8500-974</t>
  </si>
  <si>
    <t>INTEREST INCOME LOANS</t>
  </si>
  <si>
    <t>AD_{118}</t>
  </si>
  <si>
    <t>01-7200-450</t>
  </si>
  <si>
    <t>INTEREST EXPENSE</t>
  </si>
  <si>
    <t>AD_{210}</t>
  </si>
  <si>
    <t>20-7200-450</t>
  </si>
  <si>
    <t>AD_{535}</t>
  </si>
  <si>
    <t>30-7200-450</t>
  </si>
  <si>
    <t>AD_{144}</t>
  </si>
  <si>
    <t>01-8600-984</t>
  </si>
  <si>
    <t>CONTRIBUTED INCOME</t>
  </si>
  <si>
    <t>AD_{234}</t>
  </si>
  <si>
    <t>20-8600-984</t>
  </si>
  <si>
    <t>AD_{1239}</t>
  </si>
  <si>
    <t>01-2900-000</t>
  </si>
  <si>
    <t>Property Sale</t>
  </si>
  <si>
    <t>AD_{145}</t>
  </si>
  <si>
    <t>01-8600-985</t>
  </si>
  <si>
    <t>GAIN ON SALE OF ASSETS</t>
  </si>
  <si>
    <t>AD_{148}</t>
  </si>
  <si>
    <t>01-8700-987</t>
  </si>
  <si>
    <t>SURPLUS SALES</t>
  </si>
  <si>
    <t>AD_{149}</t>
  </si>
  <si>
    <t>01-8700-989</t>
  </si>
  <si>
    <t>GAIN ON SALE</t>
  </si>
  <si>
    <t>AD_{237}</t>
  </si>
  <si>
    <t>20-8700-989</t>
  </si>
  <si>
    <t>AD_{276}</t>
  </si>
  <si>
    <t>30-1313-000</t>
  </si>
  <si>
    <t>CORNER CANYON LAND SALE</t>
  </si>
  <si>
    <t>AD_{678}</t>
  </si>
  <si>
    <t>30-8700-398</t>
  </si>
  <si>
    <t>AD_{680}</t>
  </si>
  <si>
    <t>30-8700-987</t>
  </si>
  <si>
    <t>AD_{681}</t>
  </si>
  <si>
    <t>30-8700-989</t>
  </si>
  <si>
    <t>AD_{138}</t>
  </si>
  <si>
    <t>01-8500-971</t>
  </si>
  <si>
    <t>SYSTEM RENTAL INCOME</t>
  </si>
  <si>
    <t>AD_{238}</t>
  </si>
  <si>
    <t>20-9000-971</t>
  </si>
  <si>
    <t>SYSTEM RENTAL EXPENSE</t>
  </si>
  <si>
    <t>AD_{682}</t>
  </si>
  <si>
    <t>30-9000-971</t>
  </si>
  <si>
    <t>SYSTEM RENTAL</t>
  </si>
  <si>
    <t>AD_{107}</t>
  </si>
  <si>
    <t>01-3000-101</t>
  </si>
  <si>
    <t>ASSESSMENT INCOME - CLASS 'A'</t>
  </si>
  <si>
    <t>AD_{147}</t>
  </si>
  <si>
    <t>01-8700-399</t>
  </si>
  <si>
    <t>OTHER INCOME</t>
  </si>
  <si>
    <t>AD_{2054}</t>
  </si>
  <si>
    <t>01-8700-400</t>
  </si>
  <si>
    <t>GRANT MONEY</t>
  </si>
  <si>
    <t>AD_{156}</t>
  </si>
  <si>
    <t>01-9999-998</t>
  </si>
  <si>
    <t>Rounding Account</t>
  </si>
  <si>
    <t>AD_{198}</t>
  </si>
  <si>
    <t>20-3700-169</t>
  </si>
  <si>
    <t>CONSTRUCTION INSPECTION FEE</t>
  </si>
  <si>
    <t>AD_{202}</t>
  </si>
  <si>
    <t>20-3700-174</t>
  </si>
  <si>
    <t>Processing Fee</t>
  </si>
  <si>
    <t>AD_{235}</t>
  </si>
  <si>
    <t>20-8700-399</t>
  </si>
  <si>
    <t>AD_{2084}</t>
  </si>
  <si>
    <t>20-8700-400</t>
  </si>
  <si>
    <t>AD_{425}</t>
  </si>
  <si>
    <t>30-4600-371</t>
  </si>
  <si>
    <t>RETURNED CHECK FEES</t>
  </si>
  <si>
    <t>AD_{506}</t>
  </si>
  <si>
    <t>30-7000-399</t>
  </si>
  <si>
    <t>OTHER FINANCIAL SERVICE EXPENS</t>
  </si>
  <si>
    <t>AD_{677}</t>
  </si>
  <si>
    <t>30-8600-985</t>
  </si>
  <si>
    <t>SUBDIVISION ENGINEERING INCOME</t>
  </si>
  <si>
    <t>AD_{679}</t>
  </si>
  <si>
    <t>30-8700-399</t>
  </si>
  <si>
    <t>AD_{141}</t>
  </si>
  <si>
    <t>01-8600-981</t>
  </si>
  <si>
    <t>INCR CAP FAC EXPANSION INCOME</t>
  </si>
  <si>
    <t>AD_{231}</t>
  </si>
  <si>
    <t>20-8600-981</t>
  </si>
  <si>
    <t>AD_{142}</t>
  </si>
  <si>
    <t>01-8600-982</t>
  </si>
  <si>
    <t>EXIST SYSTEM BUY-IN FEE</t>
  </si>
  <si>
    <t>AD_{232}</t>
  </si>
  <si>
    <t>20-8600-982</t>
  </si>
  <si>
    <t>EXISTING SYSTEM BUY-IN FEE</t>
  </si>
  <si>
    <t>AD_{689}</t>
  </si>
  <si>
    <t>30-9900-999</t>
  </si>
  <si>
    <t>AD_{691}</t>
  </si>
  <si>
    <t>30-9999-999</t>
  </si>
  <si>
    <t>STATE INCOME TAX EXPENSE</t>
  </si>
  <si>
    <t>AD_{755}</t>
  </si>
  <si>
    <t>01-7200-452</t>
  </si>
  <si>
    <t>LOSS ON RECEIVABLES</t>
  </si>
  <si>
    <t>AD_{146}</t>
  </si>
  <si>
    <t>01-8600-990</t>
  </si>
  <si>
    <t>LOSS ON SALE OF SECURITYIES</t>
  </si>
  <si>
    <t>AD_{537}</t>
  </si>
  <si>
    <t>30-7200-452</t>
  </si>
  <si>
    <t>AD_{143}</t>
  </si>
  <si>
    <t>01-8600-983</t>
  </si>
  <si>
    <t>DAMAGE FEES</t>
  </si>
  <si>
    <t>AD_{153}</t>
  </si>
  <si>
    <t>01-9600-997</t>
  </si>
  <si>
    <t>AD_{154}</t>
  </si>
  <si>
    <t>01-9600-998</t>
  </si>
  <si>
    <t>AD_{758}</t>
  </si>
  <si>
    <t>20-7200-452</t>
  </si>
  <si>
    <t>AD_{233}</t>
  </si>
  <si>
    <t>20-8600-983</t>
  </si>
  <si>
    <t>NetIncomeLoss_B</t>
  </si>
  <si>
    <t>NetIncomeLoss</t>
  </si>
  <si>
    <t>NET (INCOME) LOSS</t>
  </si>
  <si>
    <t>S</t>
  </si>
  <si>
    <t>Subgroup : [OO.01]</t>
  </si>
  <si>
    <t>Subtotal [OO.01]</t>
  </si>
  <si>
    <t>Subgroup : [OO.03]</t>
  </si>
  <si>
    <t>Subtotal [OO.03]</t>
  </si>
  <si>
    <t>Subgroup : [OO.02]</t>
  </si>
  <si>
    <t>Subtotal [OO.02]</t>
  </si>
  <si>
    <t>Subgroup : [OO.04]</t>
  </si>
  <si>
    <t>Subtotal [OO.04]</t>
  </si>
  <si>
    <t>Subgroup : [OO.05]</t>
  </si>
  <si>
    <t>Subtotal [OO.05]</t>
  </si>
  <si>
    <t>SG_{4745}</t>
  </si>
  <si>
    <t>Subgroup : [OO.06]</t>
  </si>
  <si>
    <t>Interest Income</t>
  </si>
  <si>
    <t>SG_{4745}_T</t>
  </si>
  <si>
    <t>Subtotal [OO.06]</t>
  </si>
  <si>
    <t>SG_{4745}_T_B</t>
  </si>
  <si>
    <t>SG_{4746}</t>
  </si>
  <si>
    <t>Subgroup : [OO.07]</t>
  </si>
  <si>
    <t>Contributed Lines</t>
  </si>
  <si>
    <t>SG_{4746}_T</t>
  </si>
  <si>
    <t>Subtotal [OO.07]</t>
  </si>
  <si>
    <t>SG_{4746}_T_B</t>
  </si>
  <si>
    <t>SG_{4747}</t>
  </si>
  <si>
    <t>Subgroup : [OO.08]</t>
  </si>
  <si>
    <t>Gain/Loss on Sales of Assets</t>
  </si>
  <si>
    <t>SG_{4747}_T</t>
  </si>
  <si>
    <t>Subtotal [OO.08]</t>
  </si>
  <si>
    <t>SG_{4747}_T_B</t>
  </si>
  <si>
    <t>SG_{4748}</t>
  </si>
  <si>
    <t>Subgroup : [OO.09]</t>
  </si>
  <si>
    <t>Grant Income</t>
  </si>
  <si>
    <t>SG_{4748}_T</t>
  </si>
  <si>
    <t>Subtotal [OO.09]</t>
  </si>
  <si>
    <t>SG_{4748}_T_B</t>
  </si>
  <si>
    <t>SG_{4749}</t>
  </si>
  <si>
    <t>Reservoir Reserve</t>
  </si>
  <si>
    <t>SG_{4749}_T</t>
  </si>
  <si>
    <t>SG_{4749}_T_B</t>
  </si>
  <si>
    <t>SG_{4750}</t>
  </si>
  <si>
    <t>Subgroup : [OO.11]</t>
  </si>
  <si>
    <t>System Buy-In Fees</t>
  </si>
  <si>
    <t>SG_{4750}_T</t>
  </si>
  <si>
    <t>Subtotal [OO.11]</t>
  </si>
  <si>
    <t>SG_{4750}_T_B</t>
  </si>
  <si>
    <t>SG_{4752}</t>
  </si>
  <si>
    <t>Subgroup : [OO.12]</t>
  </si>
  <si>
    <t>System Rental Income</t>
  </si>
  <si>
    <t>SG_{4752}_T</t>
  </si>
  <si>
    <t>Subtotal [OO.12]</t>
  </si>
  <si>
    <t>SG_{4752}_T_B</t>
  </si>
  <si>
    <t>SG_{4751}</t>
  </si>
  <si>
    <t>Subgroup : [OO.13]</t>
  </si>
  <si>
    <t>Other Income</t>
  </si>
  <si>
    <t>SG_{4751}_T</t>
  </si>
  <si>
    <t>Subtotal [OO.13]</t>
  </si>
  <si>
    <t>SG_{4751}_T_B</t>
  </si>
  <si>
    <t>Group : [PP]</t>
  </si>
  <si>
    <t>Expenses</t>
  </si>
  <si>
    <t>Subgroup : [PP.01]</t>
  </si>
  <si>
    <t>Direct Costs</t>
  </si>
  <si>
    <t>Subtotal [PP.01]</t>
  </si>
  <si>
    <t>SG_{4753}</t>
  </si>
  <si>
    <t>Subgroup : [PP.02]</t>
  </si>
  <si>
    <t>Direct Professionl Expenses</t>
  </si>
  <si>
    <t>SG_{4753}_T</t>
  </si>
  <si>
    <t>Subtotal [PP.02]</t>
  </si>
  <si>
    <t>SG_{4753}_T_B</t>
  </si>
  <si>
    <t>SG_{4754}</t>
  </si>
  <si>
    <t>Subgroup : [PP.03]</t>
  </si>
  <si>
    <t>Contract Operating Expenses</t>
  </si>
  <si>
    <t>SG_{4754}_T</t>
  </si>
  <si>
    <t>Subtotal [PP.03]</t>
  </si>
  <si>
    <t>SG_{4754}_T_B</t>
  </si>
  <si>
    <t>SG_{4755}</t>
  </si>
  <si>
    <t>Subgroup : [PP.04]</t>
  </si>
  <si>
    <t>Depreciation</t>
  </si>
  <si>
    <t>SG_{4755}_T</t>
  </si>
  <si>
    <t>Subtotal [PP.04]</t>
  </si>
  <si>
    <t>SG_{4755}_T_B</t>
  </si>
  <si>
    <t>SG_{4756}</t>
  </si>
  <si>
    <t>Subgroup : [PP.05]</t>
  </si>
  <si>
    <t>Other Operating Expenses</t>
  </si>
  <si>
    <t>SG_{4756}_T</t>
  </si>
  <si>
    <t>Subtotal [PP.05]</t>
  </si>
  <si>
    <t>SG_{4756}_T_B</t>
  </si>
  <si>
    <t>SG_{4757}</t>
  </si>
  <si>
    <t>Subgroup : [PP.06]</t>
  </si>
  <si>
    <t>Interest Expense</t>
  </si>
  <si>
    <t>SG_{4757}_T</t>
  </si>
  <si>
    <t>Subtotal [PP.06]</t>
  </si>
  <si>
    <t>SG_{4757}_T_B</t>
  </si>
  <si>
    <t>SG_{4758}</t>
  </si>
  <si>
    <t>Subgroup : [PP.07]</t>
  </si>
  <si>
    <t>Provision for Income Taxes</t>
  </si>
  <si>
    <t>SG_{4758}_T</t>
  </si>
  <si>
    <t>Subtotal [PP.07]</t>
  </si>
  <si>
    <t>SG_{4758}_T_B</t>
  </si>
  <si>
    <t>Total [PP]</t>
  </si>
  <si>
    <t>Subgroup : [L.01]</t>
  </si>
  <si>
    <t>Subtotal [L.01]</t>
  </si>
  <si>
    <t>AD_{2165}</t>
  </si>
  <si>
    <t>01-2810-007</t>
  </si>
  <si>
    <t>STATE LOAN-IRRIGATION PROJECT</t>
  </si>
  <si>
    <t>4726_4680_754_01-1620-310_JE_{1}</t>
  </si>
  <si>
    <t>AD_{2166}</t>
  </si>
  <si>
    <t>01-1641-200</t>
  </si>
  <si>
    <t>CIP Reuse Water Project</t>
  </si>
  <si>
    <t>4726_4680_2166_01-1641-200_JE_{1}</t>
  </si>
  <si>
    <t>AD_{2167}</t>
  </si>
  <si>
    <t>01-2815-005</t>
  </si>
  <si>
    <t>AD_{2168}</t>
  </si>
  <si>
    <t>01-2815-007</t>
  </si>
  <si>
    <t>RE447 Accrued Interest</t>
  </si>
  <si>
    <t>12/31/2023</t>
  </si>
  <si>
    <t>STATE LOANS ACCRUED INTEREST</t>
  </si>
  <si>
    <t>AD_{2211}</t>
  </si>
  <si>
    <t>01-2810-008</t>
  </si>
  <si>
    <t>STATE LOAN - REUSE PROJECT</t>
  </si>
  <si>
    <t>AD_{2387}</t>
  </si>
  <si>
    <t>30-8400-945</t>
  </si>
  <si>
    <t>DIC ARPA</t>
  </si>
  <si>
    <t>4726_4680_58_01-1641-100_JE_{1}</t>
  </si>
  <si>
    <t>4672_4754_645_30-8300-916_JE_{1}</t>
  </si>
  <si>
    <t>AD_{2388}</t>
  </si>
  <si>
    <t>30-1117-000</t>
  </si>
  <si>
    <t>AD_{2389}</t>
  </si>
  <si>
    <t>30-1690-015</t>
  </si>
  <si>
    <t>REUSE PIPELINE &amp; WELLS</t>
  </si>
  <si>
    <t>12/31/2024</t>
  </si>
  <si>
    <t>WELLS FARGO CASH ACCOUNT</t>
  </si>
  <si>
    <t>WELLS FARGO ACCOUNT</t>
  </si>
  <si>
    <t>RE419 ACCRUED INTEREST</t>
  </si>
  <si>
    <t>4723_4739_361_30-2120-000_JE_{1}</t>
  </si>
  <si>
    <t>AJE - 1</t>
  </si>
  <si>
    <t>RJE - 2</t>
  </si>
  <si>
    <t>4722_4678_260_30-1210-000_JE_{1}</t>
  </si>
  <si>
    <t>RJE - 3</t>
  </si>
  <si>
    <t>4728_4683_358_30-2110-000_JE_{1}</t>
  </si>
  <si>
    <t>AJE - 4</t>
  </si>
  <si>
    <t>4726_4680_41_01-1620-300_JE_{1}</t>
  </si>
  <si>
    <t>4723_4739_86_01-2125-000_JE_{1}</t>
  </si>
  <si>
    <t>4723_4739_266_30-1250-000_JE_{1}</t>
  </si>
  <si>
    <t>4723_4739_266_30-1250-000_JE_{2}</t>
  </si>
  <si>
    <t>4672_4706_435_30-5200-021_JE_{1}</t>
  </si>
  <si>
    <t>4672_4706_441_30-5400-001_JE_{1}</t>
  </si>
  <si>
    <t>4672_4706_448_30-5400-123_JE_{1}</t>
  </si>
  <si>
    <t>4672_4706_449_30-5400-124_JE_{1}</t>
  </si>
  <si>
    <t>4672_4706_451_30-5400-135_JE_{1}</t>
  </si>
  <si>
    <t>4672_4753_510_30-7100-405_JE_{1}</t>
  </si>
  <si>
    <t>4672_4753_513_30-7100-410_JE_{1}</t>
  </si>
  <si>
    <t>4672_4753_515_30-7100-412_JE_{1}</t>
  </si>
  <si>
    <t>4672_4753_532_30-7100-441_JE_{1}</t>
  </si>
  <si>
    <t>4672_4754_590_30-7900-605_JE_{1}</t>
  </si>
  <si>
    <t>4672_4754_610_30-8200-772_JE_{1}</t>
  </si>
  <si>
    <t>4672_4754_611_30-8200-773_JE_{1}</t>
  </si>
  <si>
    <t>4672_4754_617_30-8200-779_JE_{1}</t>
  </si>
  <si>
    <t>4672_4754_629_30-8300-821_JE_{1}</t>
  </si>
  <si>
    <t>4672_4754_631_30-8300-841_JE_{1}</t>
  </si>
  <si>
    <t>4672_4754_634_30-8300-861_JE_{1}</t>
  </si>
  <si>
    <t>4672_4754_660_30-8400-942_JE_{1}</t>
  </si>
  <si>
    <t>4672_4754_661_30-8400-943_JE_{1}</t>
  </si>
  <si>
    <t>4672_4754_664_30-8400-949_JE_{1}</t>
  </si>
  <si>
    <t>4672_4754_666_30-8400-951_JE_{1}</t>
  </si>
  <si>
    <t>4672_4754_667_30-8400-952_JE_{1}</t>
  </si>
  <si>
    <t>4672_4754_1953_30-8400-953_JE_{1}</t>
  </si>
  <si>
    <t>4672_4754_669_30-8400-958_JE_{1}</t>
  </si>
  <si>
    <t>4672_4754_670_30-8400-962_JE_{1}</t>
  </si>
  <si>
    <t>4722_4678_163_20-1210-000_JE_{1}</t>
  </si>
  <si>
    <t>4728_4683_174_20-2110-000_JE_{1}</t>
  </si>
  <si>
    <t>4722_4678_163_20-1210-000_JE_{2}</t>
  </si>
  <si>
    <t>4722_4678_260_30-1210-000_JE_{2}</t>
  </si>
  <si>
    <t>4728_4683_174_20-2110-000_JE_{2}</t>
  </si>
  <si>
    <t>4728_4683_358_30-2110-000_JE_{2}</t>
  </si>
  <si>
    <t>AJE - 5</t>
  </si>
  <si>
    <t>4727_4699_326_30-1340-000_JE_{1}</t>
  </si>
  <si>
    <t>4726_4680_2166_01-1641-200_JE_{2}</t>
  </si>
  <si>
    <t>4723_4739_86_01-2125-000_JE_{2}</t>
  </si>
  <si>
    <t>4723_4739_266_30-1250-000_JE_{3}</t>
  </si>
  <si>
    <t>4723_4739_266_30-1250-000_JE_{4}</t>
  </si>
  <si>
    <t>4723_4739_270_30-1261-000_JE_{1}</t>
  </si>
  <si>
    <t>4728_4683_358_30-2110-000_JE_{3}</t>
  </si>
  <si>
    <t>4728_4743_368_30-2148-000_JE_{1}</t>
  </si>
  <si>
    <t>4728_4743_379_30-2185-000_JE_{1}</t>
  </si>
  <si>
    <t>4728_4743_384_30-2200-000_JE_{1}</t>
  </si>
  <si>
    <t>4672_4706_435_30-5200-021_JE_{2}</t>
  </si>
  <si>
    <t>4672_4706_436_30-5200-022_JE_{1}</t>
  </si>
  <si>
    <t>4672_4706_441_30-5400-001_JE_{2}</t>
  </si>
  <si>
    <t>4672_4706_446_30-5400-121_JE_{1}</t>
  </si>
  <si>
    <t>4672_4753_516_30-7100-415_JE_{1}</t>
  </si>
  <si>
    <t>4672_4753_520_30-7100-421_JE_{1}</t>
  </si>
  <si>
    <t>4672_4753_532_30-7100-441_JE_{2}</t>
  </si>
  <si>
    <t>4672_4754_580_30-7750-592_JE_{1}</t>
  </si>
  <si>
    <t>4672_4754_581_30-7750-593_JE_{1}</t>
  </si>
  <si>
    <t>4672_4754_590_30-7900-605_JE_{2}</t>
  </si>
  <si>
    <t>4672_4754_610_30-8200-772_JE_{2}</t>
  </si>
  <si>
    <t>4672_4754_613_30-8200-775_JE_{1}</t>
  </si>
  <si>
    <t>4672_4754_615_30-8200-777_JE_{1}</t>
  </si>
  <si>
    <t>4672_4754_616_30-8200-778_JE_{1}</t>
  </si>
  <si>
    <t>4672_4754_617_30-8200-779_JE_{2}</t>
  </si>
  <si>
    <t>4672_4754_622_30-8300-755_JE_{1}</t>
  </si>
  <si>
    <t>4672_4754_625_30-8300-793_JE_{1}</t>
  </si>
  <si>
    <t>4672_4754_626_30-8300-794_JE_{1}</t>
  </si>
  <si>
    <t>4672_4754_629_30-8300-821_JE_{2}</t>
  </si>
  <si>
    <t>4672_4754_630_30-8300-831_JE_{1}</t>
  </si>
  <si>
    <t>4672_4754_630_30-8300-831_JE_{2}</t>
  </si>
  <si>
    <t>4672_4754_631_30-8300-841_JE_{2}</t>
  </si>
  <si>
    <t>4672_4754_634_30-8300-861_JE_{2}</t>
  </si>
  <si>
    <t>4672_4754_635_30-8300-871_JE_{1}</t>
  </si>
  <si>
    <t>4672_4754_663_30-8400-948_JE_{1}</t>
  </si>
  <si>
    <t>4723_4739_167_20-1255-000_JE_{1}</t>
  </si>
  <si>
    <t>4726_4680_71_01-1730-000_JE_{1}</t>
  </si>
  <si>
    <t>AJE - 6</t>
  </si>
  <si>
    <t>4726_4680_72_01-1731-000_JE_{1}</t>
  </si>
  <si>
    <t>SG_{4759}</t>
  </si>
  <si>
    <t>Subgroup : [OO.08A]</t>
  </si>
  <si>
    <t>Investment Gain/Loss</t>
  </si>
  <si>
    <t>AD_{2390}</t>
  </si>
  <si>
    <t>30-8700-989EB</t>
  </si>
  <si>
    <t>SG_{4759}_T</t>
  </si>
  <si>
    <t>Subtotal [OO.08A]</t>
  </si>
  <si>
    <t>SG_{4759}_T_B</t>
  </si>
  <si>
    <t>4726_4680_762_01-1350-005_JE_{1}</t>
  </si>
  <si>
    <t>AJE - 7</t>
  </si>
  <si>
    <t>4723_4739_86_01-2125-000_JE_{3}</t>
  </si>
  <si>
    <t>4723_4739_266_30-1250-000_JE_{5}</t>
  </si>
  <si>
    <t>4733_4747_681_30-8700-989_JE_{1}</t>
  </si>
  <si>
    <t>RJE - 8</t>
  </si>
  <si>
    <t>4733_4759_2390_30-8700-989EB_JE_{1}</t>
  </si>
  <si>
    <t>4733_4751_679_30-8700-399_JE_{1}</t>
  </si>
  <si>
    <t>4726_4680_762_01-1350-005_JE_{2}</t>
  </si>
  <si>
    <t>4726_4680_330_30-1350-010_JE_{1}</t>
  </si>
  <si>
    <t>4726_4680_332_30-1350-020_JE_{1}</t>
  </si>
  <si>
    <t>4726_4680_340_30-1650-000_JE_{1}</t>
  </si>
  <si>
    <t>4726_4681_62_01-1655-000_JE_{1}</t>
  </si>
  <si>
    <t>4726_4681_334_30-1355-000_JE_{1}</t>
  </si>
  <si>
    <t>4669_4684_90_01-2540-000_JE_{1}</t>
  </si>
  <si>
    <t>AJE - 9</t>
  </si>
  <si>
    <t>4669_4685_2123_01-2810-005_JE_{1}</t>
  </si>
  <si>
    <t>4669_4685_2165_01-2810-007_JE_{1}</t>
  </si>
  <si>
    <t>4669_4685_95_01-2810-010_JE_{1}</t>
  </si>
  <si>
    <t>4728_4744_96_01-2815-000_JE_{1}</t>
  </si>
  <si>
    <t>4728_4744_2167_01-2815-005_JE_{1}</t>
  </si>
  <si>
    <t>4672_4757_118_01-7200-450_JE_{1}</t>
  </si>
  <si>
    <t>4726_4680_2166_01-1641-200_JE_{3}</t>
  </si>
  <si>
    <t>AJE - 10</t>
  </si>
  <si>
    <t>4672_4757_118_01-7200-450_JE_{2}</t>
  </si>
  <si>
    <t>4723_4739_86_01-2125-000_JE_{4}</t>
  </si>
  <si>
    <t>AJE - 14</t>
  </si>
  <si>
    <t>4723_4739_266_30-1250-000_JE_{6}</t>
  </si>
  <si>
    <t>4669_4685_2211_01-2810-008_JE_{1}</t>
  </si>
  <si>
    <t>4728_4743_363_30-2135-000_JE_{1}</t>
  </si>
  <si>
    <t>AJE - 11</t>
  </si>
  <si>
    <t>4670_4687_181_20-2911-000_JE_{1}</t>
  </si>
  <si>
    <t>AJE - 12</t>
  </si>
  <si>
    <t>4670_4690_100_01-2930-000_JE_{1}</t>
  </si>
  <si>
    <t>4670_4691_404_30-2960-000_JE_{1}</t>
  </si>
  <si>
    <t>AJE - 13</t>
  </si>
  <si>
    <t>4670_4702_101_01-2935-000_JE_{1}</t>
  </si>
  <si>
    <t>4733_4734_109_01-3100-121_JE_{1}</t>
  </si>
  <si>
    <t>4733_4735_199_20-3700-171_JE_{1}</t>
  </si>
  <si>
    <t>4672_4754_555_30-7600-506_JE_{1}</t>
  </si>
  <si>
    <t>RJE - 15</t>
  </si>
  <si>
    <t>4672_4754_582_30-7750-594_JE_{1}</t>
  </si>
  <si>
    <t>4672_4754_621_30-8300-752_JE_{1}</t>
  </si>
  <si>
    <t>4672_4754_645_30-8300-916_JE_{2}</t>
  </si>
  <si>
    <t>4726_4681_62_01-1655-000_JE_{2}</t>
  </si>
  <si>
    <t>AJE - 16</t>
  </si>
  <si>
    <t>4726_4681_334_30-1355-000_JE_{2}</t>
  </si>
  <si>
    <t>4723_4739_26_01-1260-000_JE_{1}</t>
  </si>
  <si>
    <t>4723_4739_175_20-2120-000_JE_{1}</t>
  </si>
  <si>
    <t>4728_4743_178_20-2520-000_JE_{1}</t>
  </si>
  <si>
    <t>AJE - 17</t>
  </si>
  <si>
    <t>4733_4751_235_20-8700-399_JE_{1}</t>
  </si>
  <si>
    <t>4672_4755_150_01-9000-974_JE_{1}</t>
  </si>
  <si>
    <t>4672_4755_239_20-9000-974_JE_{1}</t>
  </si>
  <si>
    <t>4672_4755_683_30-9000-974_JE_{1}</t>
  </si>
  <si>
    <t>Intercompany Payables/Receivables</t>
  </si>
  <si>
    <t>RJE - 18</t>
  </si>
  <si>
    <t>SG_{4760}</t>
  </si>
  <si>
    <t>Subgroup : [L.02]</t>
  </si>
  <si>
    <t>Intercompany Billings/Expenses</t>
  </si>
  <si>
    <t>4723_4760_123_01-7750-501_JE_{1}</t>
  </si>
  <si>
    <t>4723_4760_534_30-7100-999_JE_{1}</t>
  </si>
  <si>
    <t>4723_4760_563_30-7600-599_JE_{1}</t>
  </si>
  <si>
    <t>4723_4760_609_30-7900-729_JE_{1}</t>
  </si>
  <si>
    <t>4723_4760_646_30-8300-919_JE_{1}</t>
  </si>
  <si>
    <t>SG_{4760}_T</t>
  </si>
  <si>
    <t>Subtotal [L.02]</t>
  </si>
  <si>
    <t>SG_{4760}_T_B</t>
  </si>
  <si>
    <t>4733_4751_147_01-8700-399_JE_{1}</t>
  </si>
  <si>
    <t>4672_4754_578_30-7750-590_JE_{1}</t>
  </si>
  <si>
    <t>4672_4754_607_30-7900-727_JE_{1}</t>
  </si>
  <si>
    <t>4723_4739_176_20-2125-000_JE_{1}</t>
  </si>
  <si>
    <t>AJE - 19</t>
  </si>
  <si>
    <t>4723_4739_362_30-2130-000_JE_{1}</t>
  </si>
  <si>
    <t>4723_4760_204_20-5300-001_JE_{1}</t>
  </si>
  <si>
    <t>4728_4683_360_30-2115-000_JE_{1}</t>
  </si>
  <si>
    <t>4672_4706_240_20-9100-001_JE_{1}</t>
  </si>
  <si>
    <t>4733_4745_674_30-8500-972_JE_{1}</t>
  </si>
  <si>
    <t>&lt;properties&amp;nbsp;type="TBReport"&amp;nbsp;name="Account&amp;nbsp;Group&amp;nbsp;Details"&amp;nbsp;version="7.0"&gt;&lt;parameters&gt;&lt;parameter&amp;nbsp;type="string"&amp;nbsp;name="FundLayout"&amp;nbsp;value="1"&amp;nbsp;/&gt;&lt;parameter&amp;nbsp;type="string"&amp;nbsp;name="wpguid"&amp;nbsp;value="959bfa96-5a51-48a5-8196-e5d4c4d7a6ea"&amp;nbsp;/&gt;&lt;parameter&amp;nbsp;type="string"&amp;nbsp;name="tbguid"&amp;nbsp;value="f82385fb-4deb-403b-b9e4-690e7d4fce88"&amp;nbsp;/&gt;&lt;parameter&amp;nbsp;type="string"&amp;nbsp;name="tbIntID"&amp;nbsp;value="406"&amp;nbsp;/&gt;&lt;parameter&amp;nbsp;type="string"&amp;nbsp;name="tbTypeID"&amp;nbsp;value="0"&amp;nbsp;/&gt;&lt;parameter&amp;nbsp;type="string"&amp;nbsp;name="bguid"&amp;nbsp;value="8d121ccd-35b3-4fb8-ae2f-18c43efbf79e"&amp;nbsp;/&gt;&lt;parameter&amp;nbsp;type="string"&amp;nbsp;name="lfrguid"&amp;nbsp;value="9CDA13CA-58F1-4CA0-9971-252BAD3B4025"&amp;nbsp;/&gt;&lt;parameter&amp;nbsp;type="string"&amp;nbsp;name="columnviewid"&amp;nbsp;value="1"&amp;nbsp;/&gt;&lt;parameter&amp;nbsp;type="string"&amp;nbsp;name="groupinglistintid"&amp;nbsp;value="16"&amp;nbsp;/&gt;&lt;parameter&amp;nbsp;type="string"&amp;nbsp;name="rptdefnname"&amp;nbsp;value="TRIAL&amp;nbsp;BALANCE&amp;nbsp;UNCLASSIFIED&amp;nbsp;DETAIL"&amp;nbsp;/&gt;&lt;parameter&amp;nbsp;type="string"&amp;nbsp;name="wpName"&amp;nbsp;value="Working&amp;nbsp;Trial&amp;nbsp;Balance&amp;nbsp;2"&amp;nbsp;/&gt;&lt;parameter&amp;nbsp;type="string"&amp;nbsp;name="tabGuid"&amp;nbsp;value="0002e1a8-4f61-45a8-91e4-f49c7c770db1"&amp;nbsp;/&gt;&lt;parameter&amp;nbsp;type="string"&amp;nbsp;name="wpIndex"&amp;nbsp;value="3.01"&amp;nbsp;/&gt;&lt;parameter&amp;nbsp;type="string"&amp;nbsp;name="tbglobalguid"&amp;nbsp;value="9bdbbc98-0f6d-4fc1-9b33-bb40b408d1c6"&amp;nbsp;/&gt;&lt;parameter&amp;nbsp;type="string"&amp;nbsp;name="combinegroup"&amp;nbsp;value="True"&amp;nbsp;/&gt;&lt;parameter&amp;nbsp;type="string"&amp;nbsp;name="includegroup"&amp;nbsp;value="1"&amp;nbsp;/&gt;&lt;parameter&amp;nbsp;type="string"&amp;nbsp;name="summarytype"&amp;nbsp;value="3"&amp;nbsp;/&gt;&lt;parameter&amp;nbsp;type="list"&amp;nbsp;name="Groups"&amp;nbsp;all="False"&gt;&lt;selection&amp;nbsp;value="A"&amp;nbsp;/&gt;&lt;selection&amp;nbsp;value="B"&amp;nbsp;/&gt;&lt;selection&amp;nbsp;value="D"&amp;nbsp;/&gt;&lt;selection&amp;nbsp;value="E"&amp;nbsp;/&gt;&lt;selection&amp;nbsp;value="F"&amp;nbsp;/&gt;&lt;selection&amp;nbsp;value="K"&amp;nbsp;/&gt;&lt;selection&amp;nbsp;value="L"&amp;nbsp;/&gt;&lt;selection&amp;nbsp;value="LL"&amp;nbsp;/&gt;&lt;selection&amp;nbsp;value="AA"&amp;nbsp;/&gt;&lt;selection&amp;nbsp;value="BB"&amp;nbsp;/&gt;&lt;selection&amp;nbsp;value="OO"&amp;nbsp;/&gt;&lt;selection&amp;nbsp;value="PP.20"&amp;nbsp;/&gt;&lt;selection&amp;nbsp;value="PP.30"&amp;nbsp;/&gt;&lt;selection&amp;nbsp;value="PP.50"&amp;nbsp;/&gt;&lt;selection&amp;nbsp;value="PP"&amp;nbsp;/&gt;&lt;/parameter&gt;&lt;parameter&amp;nbsp;type="list"&amp;nbsp;name="Funds"&amp;nbsp;FundLevel=""&amp;nbsp;FundIndex=""&amp;nbsp;SelectedTreeViewData=""&amp;nbsp;/&gt;&lt;parameter&amp;nbsp;type="list"&amp;nbsp;name="usercolumns"&gt;&lt;selection&amp;nbsp;binding="3"&amp;nbsp;balancetypeintid="3"&amp;nbsp;columnStyle="BalanceCol"&amp;nbsp;viewid="0"&amp;nbsp;HeaderText="UNADJ"&amp;nbsp;PeriodEndDate="12/31/2024"&amp;nbsp;PeriodPriorNo="0"&amp;nbsp;colWidth="19.29"&amp;nbsp;/&gt;&lt;selection&amp;nbsp;binding="3@"&amp;nbsp;balancetypeintid="3@"&amp;nbsp;columnStyle="SpacerCol"&amp;nbsp;HeaderText=""&amp;nbsp;colWidth="4"&amp;nbsp;/&gt;&lt;selection&amp;nbsp;binding="4#"&amp;nbsp;balancetypeintid="4#"&amp;nbsp;columnStyle="JERefCol"&amp;nbsp;viewid="0"&amp;nbsp;HeaderText="JE&amp;nbsp;Ref&amp;nbsp;#"&amp;nbsp;colWidth="7.57"&amp;nbsp;/&gt;&lt;selection&amp;nbsp;binding="4"&amp;nbsp;balancetypeintid="4"&amp;nbsp;columnStyle="BalanceCol"&amp;nbsp;viewid="0"&amp;nbsp;HeaderText="AJE"&amp;nbsp;PeriodEndDate="12/31/2024"&amp;nbsp;PeriodPriorNo="0"&amp;nbsp;colWidth="19.29"&amp;nbsp;/&gt;&lt;selection&amp;nbsp;binding="4@"&amp;nbsp;balancetypeintid="4@"&amp;nbsp;columnStyle="SpacerCol"&amp;nbsp;HeaderText=""&amp;nbsp;colWidth="4"&amp;nbsp;/&gt;&lt;selection&amp;nbsp;binding="6#"&amp;nbsp;balancetypeintid="6#"&amp;nbsp;columnStyle="JERefCol"&amp;nbsp;viewid="0"&amp;nbsp;HeaderText="JE&amp;nbsp;Ref&amp;nbsp;#"&amp;nbsp;colWidth="7.57"&amp;nbsp;/&gt;&lt;selection&amp;nbsp;binding="6"&amp;nbsp;balancetypeintid="6"&amp;nbsp;columnStyle="BalanceCol"&amp;nbsp;viewid="0"&amp;nbsp;HeaderText="RJE"&amp;nbsp;PeriodEndDate="12/31/2024"&amp;nbsp;PeriodPriorNo="0"&amp;nbsp;colWidth="19.29"&amp;nbsp;/&gt;&lt;selection&amp;nbsp;binding="6@"&amp;nbsp;balancetypeintid="6@"&amp;nbsp;columnStyle="SpacerCol"&amp;nbsp;HeaderText=""&amp;nbsp;colWidth="4"&amp;nbsp;/&gt;&lt;selection&amp;nbsp;binding="7"&amp;nbsp;balancetypeintid="7"&amp;nbsp;columnStyle="BalanceCol"&amp;nbsp;viewid="0"&amp;nbsp;HeaderText="FINAL"&amp;nbsp;PeriodEndDate="12/31/2024"&amp;nbsp;PeriodPriorNo="0"&amp;nbsp;colWidth="19.29"&amp;nbsp;/&gt;&lt;selection&amp;nbsp;binding="7@"&amp;nbsp;balancetypeintid="7@"&amp;nbsp;columnStyle="SpacerCol"&amp;nbsp;HeaderText=""&amp;nbsp;colWidth="4"&amp;nbsp;/&gt;&lt;selection&amp;nbsp;binding="200"&amp;nbsp;balancetypeintid="7"&amp;nbsp;columnStyle="BalanceCol"&amp;nbsp;viewid="0"&amp;nbsp;HeaderText="1st&amp;nbsp;PP-FINAL"&amp;nbsp;PeriodEndDate="12/31/2023"&amp;nbsp;PeriodPriorNo="1"&amp;nbsp;colWidth="19.29"&amp;nbsp;/&gt;&lt;selection&amp;nbsp;binding="200@"&amp;nbsp;balancetypeintid="7@"&amp;nbsp;columnStyle="SpacerCol"&amp;nbsp;HeaderText=""&amp;nbsp;colWidth="4"&amp;nbsp;/&gt;&lt;selection&amp;nbsp;tag="30005"&amp;nbsp;binding="function.DDIFF({200}&amp;lt;&amp;gt;{7}&amp;lt;&amp;gt;)"&amp;nbsp;balancetypeintid="101"&amp;nbsp;columnStyle="BalanceCol"&amp;nbsp;HeaderText="$Var"&amp;nbsp;Description="$Var"&amp;nbsp;varianceThreshold=""&amp;nbsp;colWidth="19.29"&amp;nbsp;/&gt;&lt;selection&amp;nbsp;binding="30005@"&amp;nbsp;balancetypeintid="101@"&amp;nbsp;columnStyle="SpacerCol"&amp;nbsp;HeaderText=""&amp;nbsp;colWidth="4"&amp;nbsp;/&gt;&lt;/parameter&gt;&lt;/parameters&gt;&lt;commonSettings&gt;&lt;setting&amp;nbsp;name="HideEmptyGroupsandSubGroups"&amp;nbsp;value="true"&amp;nbsp;/&gt;&lt;setting&amp;nbsp;name="HideZeroAccountBalance"&amp;nbsp;value="true"&amp;nbsp;/&gt;&lt;setting&amp;nbsp;name="ShowWPRefColumns"&amp;nbsp;value="false"&amp;nbsp;/&gt;&lt;setting&amp;nbsp;name="PrintAsBlackAndWhite"&amp;nbsp;value="true"&amp;nbsp;/&gt;&lt;setting&amp;nbsp;name="ShowJEDetails"&amp;nbsp;value=""&amp;nbsp;/&gt;&lt;setting&amp;nbsp;name="SumAccountGroupsAtBottom"&amp;nbsp;value="false"&amp;nbsp;/&gt;&lt;setting&amp;nbsp;name="NetIncomeAtBottom"&amp;nbsp;value="true"&amp;nbsp;/&gt;&lt;setting&amp;nbsp;name="HideHeader"&amp;nbsp;value="false"&amp;nbsp;/&gt;&lt;setting&amp;nbsp;name="IncludeTotalColumn"&amp;nbsp;value="false"&amp;nbsp;/&gt;&lt;setting&amp;nbsp;name="ShowFundTotalColumnOnly"&amp;nbsp;value="false"&amp;nbsp;/&gt;&lt;/commonSettings&gt;&lt;/properties&gt;</t>
  </si>
  <si>
    <t>x</t>
  </si>
  <si>
    <t>&lt;141</t>
  </si>
  <si>
    <t>&lt;142</t>
  </si>
  <si>
    <t>&lt;231</t>
  </si>
  <si>
    <t>Calc on spreadsheet</t>
  </si>
  <si>
    <t>&lt;474</t>
  </si>
  <si>
    <t>s/b in 01</t>
  </si>
  <si>
    <t>&lt;421</t>
  </si>
  <si>
    <t>635a</t>
  </si>
  <si>
    <t>Needs cul/irr split</t>
  </si>
  <si>
    <t>IRR</t>
  </si>
  <si>
    <t>From Darrin</t>
  </si>
  <si>
    <t>CUL</t>
  </si>
  <si>
    <t>80% to 675.245</t>
  </si>
  <si>
    <t>20% to 603</t>
  </si>
  <si>
    <t>&lt;631</t>
  </si>
  <si>
    <t>640.228 @ 80%</t>
  </si>
  <si>
    <t>667 @ 80%</t>
  </si>
  <si>
    <t>632 @ 80%</t>
  </si>
  <si>
    <t>660 @ 80%</t>
  </si>
  <si>
    <t>&lt;675.249 @ 80%</t>
  </si>
  <si>
    <t>Disallowed</t>
  </si>
  <si>
    <t>&lt;675.249</t>
  </si>
  <si>
    <t>&lt;675.250 @ 80%</t>
  </si>
  <si>
    <t>&lt;675.250</t>
  </si>
  <si>
    <t>&lt;604 @ 80%</t>
  </si>
  <si>
    <t>&lt;601</t>
  </si>
  <si>
    <t>675.251</t>
  </si>
  <si>
    <t>This amount is made of 30-8300-891 and remainder to 620</t>
  </si>
  <si>
    <t>Note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</si>
</sst>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%_);[Red]_(* \(#,##0.00%\);_(0.00%_);@"/>
    <numFmt numFmtId="165" formatCode="mm/dd/yyyy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b/>
      <sz val="9"/>
      <color indexed="18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10"/>
      <color indexed="63"/>
      <name val="Arial"/>
      <family val="2"/>
    </font>
    <font>
      <b/>
      <i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0"/>
      <color theme="4"/>
      <name val="Arial"/>
      <family val="2"/>
    </font>
    <font>
      <b/>
      <sz val="10"/>
      <color rgb="FF0070C0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8">
    <xf numFmtId="0" fontId="0" fillId="0" borderId="0"/>
    <xf numFmtId="40" fontId="2" fillId="0" borderId="1">
      <alignment horizontal="right"/>
    </xf>
    <xf numFmtId="0" fontId="3" fillId="0" borderId="0">
      <alignment horizontal="left"/>
    </xf>
    <xf numFmtId="40" fontId="1" fillId="0" borderId="0"/>
    <xf numFmtId="0" fontId="3" fillId="0" borderId="0">
      <alignment horizontal="left"/>
    </xf>
    <xf numFmtId="164" fontId="2" fillId="0" borderId="1">
      <alignment horizontal="right"/>
    </xf>
    <xf numFmtId="40" fontId="2" fillId="0" borderId="0">
      <alignment horizontal="right"/>
    </xf>
    <xf numFmtId="40" fontId="1" fillId="0" borderId="0">
      <alignment horizontal="right"/>
    </xf>
    <xf numFmtId="0" fontId="1" fillId="0" borderId="0">
      <alignment horizontal="left"/>
    </xf>
    <xf numFmtId="40" fontId="1" fillId="0" borderId="0"/>
    <xf numFmtId="0" fontId="1" fillId="0" borderId="0">
      <alignment horizontal="left"/>
    </xf>
    <xf numFmtId="164" fontId="1" fillId="0" borderId="0">
      <alignment horizontal="right"/>
    </xf>
    <xf numFmtId="0" fontId="1" fillId="0" borderId="0"/>
    <xf numFmtId="40" fontId="4" fillId="2" borderId="0">
      <alignment horizontal="right" vertical="center"/>
    </xf>
    <xf numFmtId="40" fontId="4" fillId="2" borderId="0">
      <alignment horizontal="left" vertical="center"/>
    </xf>
    <xf numFmtId="40" fontId="4" fillId="2" borderId="0">
      <alignment horizontal="center" vertical="center"/>
    </xf>
    <xf numFmtId="40" fontId="4" fillId="2" borderId="0">
      <alignment horizontal="center" vertical="center"/>
    </xf>
    <xf numFmtId="40" fontId="4" fillId="2" borderId="0">
      <alignment horizontal="right" vertical="center"/>
    </xf>
    <xf numFmtId="40" fontId="4" fillId="2" borderId="0">
      <alignment horizontal="right"/>
    </xf>
    <xf numFmtId="40" fontId="4" fillId="2" borderId="0">
      <alignment horizontal="center" vertical="center"/>
    </xf>
    <xf numFmtId="40" fontId="1" fillId="0" borderId="0"/>
    <xf numFmtId="0" fontId="1" fillId="0" borderId="0">
      <alignment horizontal="left"/>
    </xf>
    <xf numFmtId="40" fontId="1" fillId="0" borderId="0"/>
    <xf numFmtId="40" fontId="1" fillId="0" borderId="0">
      <alignment horizontal="center" vertical="center"/>
    </xf>
    <xf numFmtId="164" fontId="1" fillId="0" borderId="0">
      <alignment horizontal="right"/>
    </xf>
    <xf numFmtId="40" fontId="1" fillId="0" borderId="0"/>
    <xf numFmtId="40" fontId="4" fillId="2" borderId="0">
      <alignment horizontal="center" vertical="center"/>
    </xf>
    <xf numFmtId="40" fontId="4" fillId="2" borderId="0">
      <alignment horizontal="center" vertical="center"/>
    </xf>
    <xf numFmtId="164" fontId="4" fillId="2" borderId="0">
      <alignment horizontal="center" vertical="center"/>
    </xf>
    <xf numFmtId="40" fontId="4" fillId="2" borderId="0">
      <alignment horizontal="right"/>
    </xf>
    <xf numFmtId="40" fontId="2" fillId="0" borderId="2">
      <alignment horizontal="right"/>
    </xf>
    <xf numFmtId="0" fontId="3" fillId="0" borderId="0">
      <alignment horizontal="left"/>
    </xf>
    <xf numFmtId="40" fontId="1" fillId="0" borderId="0"/>
    <xf numFmtId="0" fontId="3" fillId="0" borderId="0">
      <alignment horizontal="left"/>
    </xf>
    <xf numFmtId="164" fontId="2" fillId="0" borderId="2">
      <alignment horizontal="right"/>
    </xf>
    <xf numFmtId="40" fontId="2" fillId="0" borderId="0">
      <alignment horizontal="right"/>
    </xf>
    <xf numFmtId="40" fontId="1" fillId="0" borderId="0"/>
    <xf numFmtId="40" fontId="1" fillId="0" borderId="0"/>
    <xf numFmtId="40" fontId="2" fillId="0" borderId="3">
      <alignment horizontal="right"/>
    </xf>
    <xf numFmtId="40" fontId="2" fillId="0" borderId="0">
      <alignment horizontal="left"/>
    </xf>
    <xf numFmtId="40" fontId="1" fillId="0" borderId="0"/>
    <xf numFmtId="40" fontId="2" fillId="0" borderId="0">
      <alignment horizontal="left"/>
    </xf>
    <xf numFmtId="164" fontId="2" fillId="0" borderId="3">
      <alignment horizontal="right"/>
    </xf>
    <xf numFmtId="40" fontId="2" fillId="0" borderId="0">
      <alignment horizontal="right"/>
    </xf>
    <xf numFmtId="0" fontId="4" fillId="2" borderId="0">
      <alignment horizontal="center" vertical="center"/>
    </xf>
    <xf numFmtId="40" fontId="4" fillId="2" borderId="0">
      <alignment horizontal="center" vertical="center"/>
    </xf>
    <xf numFmtId="40" fontId="4" fillId="2" borderId="0">
      <alignment horizontal="center" vertical="center"/>
    </xf>
    <xf numFmtId="40" fontId="4" fillId="2" borderId="0">
      <alignment horizontal="center" vertical="center"/>
    </xf>
    <xf numFmtId="40" fontId="4" fillId="2" borderId="0">
      <alignment horizontal="center" vertical="center"/>
    </xf>
    <xf numFmtId="40" fontId="4" fillId="2" borderId="0">
      <alignment horizontal="center" vertical="center"/>
    </xf>
    <xf numFmtId="40" fontId="4" fillId="2" borderId="0">
      <alignment horizontal="center" vertical="center"/>
    </xf>
    <xf numFmtId="40" fontId="4" fillId="2" borderId="0">
      <alignment horizontal="center" vertical="center"/>
    </xf>
    <xf numFmtId="40" fontId="4" fillId="2" borderId="0">
      <alignment horizontal="center" vertical="center"/>
    </xf>
    <xf numFmtId="40" fontId="1" fillId="0" borderId="0"/>
    <xf numFmtId="40" fontId="1" fillId="0" borderId="0"/>
    <xf numFmtId="40" fontId="1" fillId="0" borderId="0"/>
    <xf numFmtId="40" fontId="1" fillId="0" borderId="0"/>
    <xf numFmtId="40" fontId="1" fillId="0" borderId="0"/>
    <xf numFmtId="40" fontId="1" fillId="0" borderId="0"/>
    <xf numFmtId="0" fontId="2" fillId="3" borderId="0">
      <alignment horizontal="center" vertical="center"/>
    </xf>
    <xf numFmtId="40" fontId="2" fillId="3" borderId="0">
      <alignment horizontal="center" vertical="center"/>
    </xf>
    <xf numFmtId="40" fontId="2" fillId="3" borderId="0">
      <alignment horizontal="center" vertical="center"/>
    </xf>
    <xf numFmtId="0" fontId="2" fillId="4" borderId="0">
      <alignment horizontal="left"/>
    </xf>
    <xf numFmtId="40" fontId="1" fillId="0" borderId="0"/>
    <xf numFmtId="0" fontId="2" fillId="4" borderId="0">
      <alignment horizontal="left"/>
    </xf>
    <xf numFmtId="40" fontId="2" fillId="0" borderId="0">
      <alignment horizontal="right"/>
    </xf>
    <xf numFmtId="40" fontId="4" fillId="2" borderId="0"/>
    <xf numFmtId="40" fontId="4" fillId="2" borderId="0"/>
    <xf numFmtId="40" fontId="1" fillId="0" borderId="0"/>
    <xf numFmtId="0" fontId="5" fillId="7" borderId="0">
      <alignment horizontal="left" vertical="top" wrapText="1"/>
    </xf>
    <xf numFmtId="40" fontId="5" fillId="0" borderId="0"/>
    <xf numFmtId="40" fontId="5" fillId="0" borderId="0"/>
    <xf numFmtId="0" fontId="5" fillId="0" borderId="0">
      <alignment horizontal="left"/>
    </xf>
    <xf numFmtId="0" fontId="5" fillId="0" borderId="0">
      <alignment horizontal="center"/>
    </xf>
    <xf numFmtId="0" fontId="6" fillId="0" borderId="0">
      <alignment horizontal="center"/>
    </xf>
    <xf numFmtId="0" fontId="7" fillId="2" borderId="0">
      <alignment horizontal="left"/>
    </xf>
    <xf numFmtId="0" fontId="7" fillId="2" borderId="0">
      <alignment horizontal="left"/>
    </xf>
    <xf numFmtId="0" fontId="6" fillId="0" borderId="0">
      <alignment horizontal="center"/>
    </xf>
    <xf numFmtId="40" fontId="8" fillId="0" borderId="4"/>
    <xf numFmtId="40" fontId="8" fillId="0" borderId="4"/>
    <xf numFmtId="0" fontId="8" fillId="0" borderId="0"/>
    <xf numFmtId="0" fontId="8" fillId="0" borderId="0"/>
    <xf numFmtId="0" fontId="6" fillId="0" borderId="0">
      <alignment horizontal="center"/>
    </xf>
    <xf numFmtId="0" fontId="9" fillId="6" borderId="0">
      <alignment horizontal="left"/>
    </xf>
    <xf numFmtId="0" fontId="9" fillId="6" borderId="0">
      <alignment horizontal="left"/>
    </xf>
    <xf numFmtId="40" fontId="2" fillId="0" borderId="2">
      <alignment horizontal="right"/>
    </xf>
    <xf numFmtId="0" fontId="14" fillId="0" borderId="0">
      <alignment horizontal="left"/>
    </xf>
    <xf numFmtId="40" fontId="1" fillId="0" borderId="0"/>
    <xf numFmtId="164" fontId="2" fillId="0" borderId="2">
      <alignment horizontal="right"/>
    </xf>
    <xf numFmtId="40" fontId="2" fillId="0" borderId="0" applyBorder="0">
      <alignment horizontal="right"/>
    </xf>
    <xf numFmtId="0" fontId="1" fillId="0" borderId="0"/>
    <xf numFmtId="40" fontId="10" fillId="5" borderId="0">
      <alignment horizontal="left"/>
    </xf>
    <xf numFmtId="40" fontId="10" fillId="5" borderId="0">
      <alignment horizontal="left"/>
    </xf>
    <xf numFmtId="0" fontId="11" fillId="5" borderId="0">
      <alignment horizontal="left"/>
      <protection locked="0"/>
    </xf>
    <xf numFmtId="14" fontId="11" fillId="5" borderId="0">
      <alignment horizontal="left"/>
      <protection locked="0"/>
    </xf>
    <xf numFmtId="40" fontId="2" fillId="0" borderId="0">
      <alignment horizontal="right"/>
    </xf>
    <xf numFmtId="40" fontId="12" fillId="5" borderId="0">
      <alignment horizontal="left"/>
    </xf>
    <xf numFmtId="40" fontId="12" fillId="5" borderId="0">
      <alignment horizontal="left"/>
    </xf>
    <xf numFmtId="40" fontId="1" fillId="0" borderId="0"/>
    <xf numFmtId="40" fontId="2" fillId="0" borderId="3">
      <alignment horizontal="right"/>
    </xf>
    <xf numFmtId="40" fontId="2" fillId="0" borderId="0">
      <alignment horizontal="left"/>
    </xf>
    <xf numFmtId="40" fontId="1" fillId="0" borderId="0"/>
    <xf numFmtId="40" fontId="2" fillId="0" borderId="0">
      <alignment horizontal="left"/>
    </xf>
    <xf numFmtId="164" fontId="2" fillId="0" borderId="3">
      <alignment horizontal="right"/>
    </xf>
    <xf numFmtId="40" fontId="2" fillId="0" borderId="0">
      <alignment horizontal="right"/>
    </xf>
    <xf numFmtId="40" fontId="2" fillId="0" borderId="0">
      <alignment horizontal="right"/>
    </xf>
    <xf numFmtId="0" fontId="2" fillId="4" borderId="0">
      <alignment horizontal="left"/>
    </xf>
    <xf numFmtId="40" fontId="1" fillId="0" borderId="0"/>
    <xf numFmtId="0" fontId="2" fillId="4" borderId="0">
      <alignment horizontal="left"/>
    </xf>
    <xf numFmtId="164" fontId="2" fillId="0" borderId="0">
      <alignment horizontal="right"/>
    </xf>
    <xf numFmtId="40" fontId="2" fillId="0" borderId="0">
      <alignment horizontal="right"/>
    </xf>
    <xf numFmtId="0" fontId="8" fillId="0" borderId="0"/>
    <xf numFmtId="40" fontId="5" fillId="0" borderId="4"/>
    <xf numFmtId="40" fontId="5" fillId="0" borderId="4"/>
    <xf numFmtId="0" fontId="5" fillId="0" borderId="0"/>
    <xf numFmtId="0" fontId="5" fillId="0" borderId="0"/>
    <xf numFmtId="40" fontId="5" fillId="0" borderId="0"/>
    <xf numFmtId="165" fontId="5" fillId="0" borderId="0"/>
    <xf numFmtId="40" fontId="5" fillId="0" borderId="0"/>
    <xf numFmtId="0" fontId="5" fillId="0" borderId="0"/>
    <xf numFmtId="0" fontId="5" fillId="0" borderId="0"/>
    <xf numFmtId="40" fontId="2" fillId="0" borderId="4">
      <alignment horizontal="right"/>
    </xf>
    <xf numFmtId="40" fontId="2" fillId="0" borderId="0">
      <alignment horizontal="left"/>
    </xf>
    <xf numFmtId="40" fontId="1" fillId="0" borderId="0"/>
    <xf numFmtId="40" fontId="2" fillId="0" borderId="0">
      <alignment horizontal="left"/>
    </xf>
    <xf numFmtId="164" fontId="2" fillId="0" borderId="4">
      <alignment horizontal="right"/>
    </xf>
    <xf numFmtId="40" fontId="2" fillId="0" borderId="0">
      <alignment horizontal="right"/>
    </xf>
    <xf numFmtId="0" fontId="2" fillId="4" borderId="0">
      <alignment horizontal="center"/>
    </xf>
    <xf numFmtId="0" fontId="2" fillId="4" borderId="0">
      <alignment horizontal="left"/>
    </xf>
    <xf numFmtId="0" fontId="1" fillId="0" borderId="0"/>
    <xf numFmtId="40" fontId="1" fillId="0" borderId="0">
      <protection locked="0"/>
    </xf>
    <xf numFmtId="40" fontId="4" fillId="2" borderId="0">
      <alignment horizontal="center" vertical="center"/>
    </xf>
    <xf numFmtId="0" fontId="1" fillId="0" borderId="0">
      <protection locked="0"/>
    </xf>
    <xf numFmtId="0" fontId="2" fillId="0" borderId="0">
      <alignment horizontal="right"/>
      <protection locked="0"/>
    </xf>
    <xf numFmtId="0" fontId="2" fillId="0" borderId="0">
      <alignment horizontal="right"/>
      <protection locked="0"/>
    </xf>
    <xf numFmtId="0" fontId="2" fillId="0" borderId="0">
      <alignment horizontal="right"/>
      <protection locked="0"/>
    </xf>
    <xf numFmtId="0" fontId="2" fillId="0" borderId="0">
      <alignment horizontal="right"/>
      <protection locked="0"/>
    </xf>
    <xf numFmtId="0" fontId="2" fillId="0" borderId="0" applyBorder="0">
      <alignment horizontal="right"/>
      <protection locked="0"/>
    </xf>
    <xf numFmtId="0" fontId="2" fillId="0" borderId="0">
      <alignment horizontal="right"/>
      <protection locked="0"/>
    </xf>
    <xf numFmtId="0" fontId="2" fillId="0" borderId="0">
      <alignment horizontal="right"/>
      <protection locked="0"/>
    </xf>
    <xf numFmtId="0" fontId="4" fillId="2" borderId="0">
      <alignment horizontal="right" vertical="center"/>
      <protection locked="0"/>
    </xf>
    <xf numFmtId="0" fontId="6" fillId="0" borderId="0">
      <alignment horizontal="center"/>
      <protection locked="0"/>
    </xf>
    <xf numFmtId="0" fontId="6" fillId="0" borderId="0">
      <alignment horizontal="center"/>
      <protection locked="0"/>
    </xf>
    <xf numFmtId="0" fontId="6" fillId="0" borderId="0">
      <alignment horizontal="center"/>
      <protection locked="0"/>
    </xf>
    <xf numFmtId="0" fontId="14" fillId="0" borderId="0">
      <alignment horizontal="left"/>
    </xf>
    <xf numFmtId="0" fontId="2" fillId="3" borderId="0">
      <alignment horizontal="left" vertical="center"/>
    </xf>
    <xf numFmtId="40" fontId="13" fillId="0" borderId="0">
      <alignment horizontal="right"/>
    </xf>
    <xf numFmtId="43" fontId="17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Protection="1">
      <protection locked="0"/>
    </xf>
    <xf numFmtId="0" fontId="1" fillId="0" borderId="0" xfId="132">
      <protection locked="0"/>
    </xf>
    <xf numFmtId="0" fontId="2" fillId="0" borderId="0" xfId="133">
      <alignment horizontal="right"/>
      <protection locked="0"/>
    </xf>
    <xf numFmtId="0" fontId="2" fillId="0" borderId="0" xfId="139">
      <alignment horizontal="right"/>
      <protection locked="0"/>
    </xf>
    <xf numFmtId="0" fontId="2" fillId="0" borderId="0" xfId="137">
      <alignment horizontal="right"/>
      <protection locked="0"/>
    </xf>
    <xf numFmtId="40" fontId="4" fillId="2" borderId="0" xfId="50">
      <alignment horizontal="center" vertical="center"/>
    </xf>
    <xf numFmtId="0" fontId="1" fillId="0" borderId="0" xfId="10">
      <alignment horizontal="left"/>
    </xf>
    <xf numFmtId="0" fontId="14" fillId="0" borderId="0" xfId="144">
      <alignment horizontal="left"/>
    </xf>
    <xf numFmtId="40" fontId="4" fillId="2" borderId="0" xfId="48">
      <alignment horizontal="center" vertical="center"/>
    </xf>
    <xf numFmtId="0" fontId="1" fillId="0" borderId="0" xfId="8">
      <alignment horizontal="left"/>
    </xf>
    <xf numFmtId="40" fontId="12" fillId="5" borderId="0" xfId="96">
      <alignment horizontal="left"/>
    </xf>
    <xf numFmtId="40" fontId="2" fillId="0" borderId="0" xfId="100">
      <alignment horizontal="left"/>
    </xf>
    <xf numFmtId="0" fontId="4" fillId="2" borderId="0" xfId="44">
      <alignment horizontal="center" vertical="center"/>
    </xf>
    <xf numFmtId="40" fontId="1" fillId="0" borderId="0" xfId="7">
      <alignment horizontal="right"/>
    </xf>
    <xf numFmtId="40" fontId="2" fillId="0" borderId="3" xfId="99">
      <alignment horizontal="right"/>
    </xf>
    <xf numFmtId="40" fontId="2" fillId="0" borderId="4" xfId="121">
      <alignment horizontal="right"/>
    </xf>
    <xf numFmtId="40" fontId="2" fillId="0" borderId="2" xfId="85">
      <alignment horizontal="right"/>
    </xf>
    <xf numFmtId="40" fontId="4" fillId="2" borderId="0" xfId="49">
      <alignment horizontal="center" vertical="center"/>
    </xf>
    <xf numFmtId="40" fontId="1" fillId="0" borderId="0" xfId="9"/>
    <xf numFmtId="40" fontId="1" fillId="0" borderId="0" xfId="101"/>
    <xf numFmtId="40" fontId="1" fillId="0" borderId="0" xfId="123"/>
    <xf numFmtId="40" fontId="1" fillId="0" borderId="0" xfId="87"/>
    <xf numFmtId="40" fontId="10" fillId="5" borderId="0" xfId="91">
      <alignment horizontal="left"/>
    </xf>
    <xf numFmtId="40" fontId="1" fillId="0" borderId="0" xfId="53"/>
    <xf numFmtId="40" fontId="4" fillId="2" borderId="0" xfId="131">
      <alignment horizontal="center" vertical="center"/>
    </xf>
    <xf numFmtId="0" fontId="1" fillId="0" borderId="0" xfId="132" applyProtection="1"/>
    <xf numFmtId="40" fontId="10" fillId="5" borderId="0" xfId="92" quotePrefix="1">
      <alignment horizontal="left"/>
    </xf>
    <xf numFmtId="0" fontId="11" fillId="5" borderId="0" xfId="93" quotePrefix="1" applyProtection="1">
      <alignment horizontal="left"/>
    </xf>
    <xf numFmtId="14" fontId="11" fillId="5" borderId="0" xfId="94" quotePrefix="1" applyProtection="1">
      <alignment horizontal="left"/>
    </xf>
    <xf numFmtId="40" fontId="1" fillId="0" borderId="0" xfId="56" quotePrefix="1"/>
    <xf numFmtId="40" fontId="1" fillId="0" borderId="0" xfId="54" quotePrefix="1"/>
    <xf numFmtId="40" fontId="1" fillId="0" borderId="0" xfId="130" quotePrefix="1" applyProtection="1"/>
    <xf numFmtId="40" fontId="1" fillId="0" borderId="0" xfId="55" quotePrefix="1"/>
    <xf numFmtId="40" fontId="4" fillId="2" borderId="0" xfId="50" quotePrefix="1">
      <alignment horizontal="center" vertical="center"/>
    </xf>
    <xf numFmtId="40" fontId="4" fillId="2" borderId="0" xfId="48" quotePrefix="1">
      <alignment horizontal="center" vertical="center"/>
    </xf>
    <xf numFmtId="0" fontId="4" fillId="2" borderId="0" xfId="44" quotePrefix="1">
      <alignment horizontal="center" vertical="center"/>
    </xf>
    <xf numFmtId="40" fontId="4" fillId="2" borderId="0" xfId="49" quotePrefix="1">
      <alignment horizontal="center" vertical="center"/>
    </xf>
    <xf numFmtId="40" fontId="4" fillId="2" borderId="0" xfId="67" quotePrefix="1"/>
    <xf numFmtId="40" fontId="4" fillId="2" borderId="0" xfId="66" quotePrefix="1"/>
    <xf numFmtId="40" fontId="12" fillId="5" borderId="0" xfId="97" quotePrefix="1">
      <alignment horizontal="left"/>
    </xf>
    <xf numFmtId="40" fontId="12" fillId="5" borderId="0" xfId="96" quotePrefix="1">
      <alignment horizontal="left"/>
    </xf>
    <xf numFmtId="0" fontId="1" fillId="0" borderId="0" xfId="10" quotePrefix="1">
      <alignment horizontal="left"/>
    </xf>
    <xf numFmtId="0" fontId="1" fillId="0" borderId="0" xfId="8" quotePrefix="1">
      <alignment horizontal="left"/>
    </xf>
    <xf numFmtId="40" fontId="1" fillId="0" borderId="0" xfId="7" quotePrefix="1">
      <alignment horizontal="right"/>
    </xf>
    <xf numFmtId="40" fontId="2" fillId="0" borderId="0" xfId="102" quotePrefix="1">
      <alignment horizontal="left"/>
    </xf>
    <xf numFmtId="40" fontId="2" fillId="0" borderId="0" xfId="100" quotePrefix="1">
      <alignment horizontal="left"/>
    </xf>
    <xf numFmtId="40" fontId="2" fillId="0" borderId="3" xfId="99" quotePrefix="1">
      <alignment horizontal="right"/>
    </xf>
    <xf numFmtId="40" fontId="2" fillId="0" borderId="0" xfId="124" quotePrefix="1">
      <alignment horizontal="left"/>
    </xf>
    <xf numFmtId="40" fontId="2" fillId="0" borderId="0" xfId="122" quotePrefix="1">
      <alignment horizontal="left"/>
    </xf>
    <xf numFmtId="40" fontId="2" fillId="0" borderId="4" xfId="121" quotePrefix="1">
      <alignment horizontal="right"/>
    </xf>
    <xf numFmtId="0" fontId="14" fillId="0" borderId="0" xfId="86" quotePrefix="1">
      <alignment horizontal="left"/>
    </xf>
    <xf numFmtId="40" fontId="2" fillId="0" borderId="2" xfId="85" quotePrefix="1">
      <alignment horizontal="right"/>
    </xf>
    <xf numFmtId="0" fontId="0" fillId="0" borderId="0" xfId="0" quotePrefix="1"/>
    <xf numFmtId="40" fontId="1" fillId="0" borderId="0" xfId="9" quotePrefix="1"/>
    <xf numFmtId="38" fontId="15" fillId="0" borderId="0" xfId="0" applyNumberFormat="1" applyFont="1" applyAlignment="1" applyProtection="1">
      <alignment horizontal="left"/>
      <protection locked="0"/>
    </xf>
    <xf numFmtId="0" fontId="15" fillId="0" borderId="0" xfId="132" applyFont="1" applyAlignment="1">
      <alignment horizontal="left"/>
      <protection locked="0"/>
    </xf>
    <xf numFmtId="38" fontId="16" fillId="0" borderId="0" xfId="0" applyNumberFormat="1" applyFont="1" applyAlignment="1" applyProtection="1">
      <alignment horizontal="left"/>
      <protection locked="0"/>
    </xf>
    <xf numFmtId="38" fontId="15" fillId="8" borderId="0" xfId="0" applyNumberFormat="1" applyFont="1" applyFill="1" applyAlignment="1" applyProtection="1">
      <alignment horizontal="left"/>
      <protection locked="0"/>
    </xf>
    <xf numFmtId="0" fontId="15" fillId="0" borderId="0" xfId="132" applyFont="1" applyAlignment="1">
      <alignment horizontal="right"/>
      <protection locked="0"/>
    </xf>
    <xf numFmtId="43" fontId="0" fillId="0" borderId="0" xfId="147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147" applyFont="1" applyProtection="1">
      <protection locked="0"/>
    </xf>
    <xf numFmtId="43" fontId="0" fillId="0" borderId="0" xfId="147" applyFont="1"/>
    <xf numFmtId="38" fontId="16" fillId="0" borderId="0" xfId="0" quotePrefix="1" applyNumberFormat="1" applyFont="1" applyAlignment="1" applyProtection="1">
      <alignment horizontal="left"/>
      <protection locked="0"/>
    </xf>
    <xf numFmtId="40" fontId="0" fillId="0" borderId="0" xfId="0" applyNumberFormat="1" applyProtection="1">
      <protection locked="0"/>
    </xf>
    <xf numFmtId="43" fontId="16" fillId="9" borderId="0" xfId="147" applyFont="1" applyFill="1" applyAlignment="1" applyProtection="1">
      <alignment horizontal="left"/>
      <protection locked="0"/>
    </xf>
    <xf numFmtId="0" fontId="0" fillId="0" borderId="0" xfId="0" applyAlignment="1">
      <alignment vertical="top"/>
    </xf>
  </cellXfs>
  <cellStyles count="148">
    <cellStyle name="AccountClassificationTotalRowBalanceCol" xfId="1" xr:uid="{00000000-0005-0000-0000-000000000000}"/>
    <cellStyle name="AccountClassificationTotalRowDescCol" xfId="2" xr:uid="{00000000-0005-0000-0000-000001000000}"/>
    <cellStyle name="AccountClassificationTotalRowJERefCol" xfId="3" xr:uid="{00000000-0005-0000-0000-000002000000}"/>
    <cellStyle name="AccountClassificationTotalRowNameCol" xfId="4" xr:uid="{00000000-0005-0000-0000-000003000000}"/>
    <cellStyle name="AccountClassificationTotalRowSpacerCol" xfId="135" xr:uid="{00000000-0005-0000-0000-000004000000}"/>
    <cellStyle name="AccountClassificationTotalRowVarPectCol" xfId="5" xr:uid="{00000000-0005-0000-0000-000005000000}"/>
    <cellStyle name="AccountClassificationTotalRowWPRefCol" xfId="6" xr:uid="{00000000-0005-0000-0000-000006000000}"/>
    <cellStyle name="AccountDetailRowBalanceCol" xfId="7" xr:uid="{00000000-0005-0000-0000-000007000000}"/>
    <cellStyle name="AccountDetailRowBalanceColNegative" xfId="146" xr:uid="{00000000-0005-0000-0000-000008000000}"/>
    <cellStyle name="AccountDetailRowDescCol" xfId="8" xr:uid="{00000000-0005-0000-0000-000009000000}"/>
    <cellStyle name="AccountDetailRowJERefCol" xfId="9" xr:uid="{00000000-0005-0000-0000-00000A000000}"/>
    <cellStyle name="AccountDetailRowNameCol" xfId="10" xr:uid="{00000000-0005-0000-0000-00000B000000}"/>
    <cellStyle name="AccountDetailRowSpacerCol" xfId="132" xr:uid="{00000000-0005-0000-0000-00000C000000}"/>
    <cellStyle name="AccountDetailRowVarPectCol" xfId="11" xr:uid="{00000000-0005-0000-0000-00000D000000}"/>
    <cellStyle name="AccountDetailRowWPRefCol" xfId="12" xr:uid="{00000000-0005-0000-0000-00000E000000}"/>
    <cellStyle name="AccountNetIncomeLossRowBalanceCol" xfId="13" xr:uid="{00000000-0005-0000-0000-00000F000000}"/>
    <cellStyle name="AccountNetIncomeLossRowDescCol" xfId="14" xr:uid="{00000000-0005-0000-0000-000010000000}"/>
    <cellStyle name="AccountNetIncomeLossRowJERefCol" xfId="15" xr:uid="{00000000-0005-0000-0000-000011000000}"/>
    <cellStyle name="AccountNetIncomeLossRowNameCol" xfId="16" xr:uid="{00000000-0005-0000-0000-000012000000}"/>
    <cellStyle name="AccountNetIncomeLossRowSpacerCol" xfId="140" xr:uid="{00000000-0005-0000-0000-000013000000}"/>
    <cellStyle name="AccountNetIncomeLossRowWPRefCol" xfId="17" xr:uid="{00000000-0005-0000-0000-000014000000}"/>
    <cellStyle name="AccountTotalBalanceCol" xfId="18" xr:uid="{00000000-0005-0000-0000-000015000000}"/>
    <cellStyle name="AccountTotalDescCol" xfId="19" xr:uid="{00000000-0005-0000-0000-000016000000}"/>
    <cellStyle name="AccountTotalDetailRowBalanceCol" xfId="20" xr:uid="{00000000-0005-0000-0000-000017000000}"/>
    <cellStyle name="AccountTotalDetailRowDescCol" xfId="21" xr:uid="{00000000-0005-0000-0000-000018000000}"/>
    <cellStyle name="AccountTotalDetailRowJERefCol" xfId="22" xr:uid="{00000000-0005-0000-0000-000019000000}"/>
    <cellStyle name="AccountTotalDetailRowNameCol" xfId="23" xr:uid="{00000000-0005-0000-0000-00001A000000}"/>
    <cellStyle name="AccountTotalDetailRowSpacerCol" xfId="129" xr:uid="{00000000-0005-0000-0000-00001B000000}"/>
    <cellStyle name="AccountTotalDetailRowVarPectCol" xfId="24" xr:uid="{00000000-0005-0000-0000-00001C000000}"/>
    <cellStyle name="AccountTotalDetailRowWPRefCol" xfId="25" xr:uid="{00000000-0005-0000-0000-00001D000000}"/>
    <cellStyle name="AccountTotalJERefCol" xfId="26" xr:uid="{00000000-0005-0000-0000-00001E000000}"/>
    <cellStyle name="AccountTotalNameCol" xfId="27" xr:uid="{00000000-0005-0000-0000-00001F000000}"/>
    <cellStyle name="AccountTotalVarPectCol" xfId="28" xr:uid="{00000000-0005-0000-0000-000020000000}"/>
    <cellStyle name="AccountTotalWPRefCol" xfId="29" xr:uid="{00000000-0005-0000-0000-000021000000}"/>
    <cellStyle name="AccountTypeTotalRowBalanceCol" xfId="30" xr:uid="{00000000-0005-0000-0000-000022000000}"/>
    <cellStyle name="AccountTypeTotalRowDescCol" xfId="31" xr:uid="{00000000-0005-0000-0000-000023000000}"/>
    <cellStyle name="AccountTypeTotalRowJERefCol" xfId="32" xr:uid="{00000000-0005-0000-0000-000024000000}"/>
    <cellStyle name="AccountTypeTotalRowNameCol" xfId="33" xr:uid="{00000000-0005-0000-0000-000025000000}"/>
    <cellStyle name="AccountTypeTotalRowSpacerCol" xfId="136" xr:uid="{00000000-0005-0000-0000-000026000000}"/>
    <cellStyle name="AccountTypeTotalRowVarPectCol" xfId="34" xr:uid="{00000000-0005-0000-0000-000027000000}"/>
    <cellStyle name="AccountTypeTotalRowWPRefCol" xfId="35" xr:uid="{00000000-0005-0000-0000-000028000000}"/>
    <cellStyle name="BlankRow" xfId="36" xr:uid="{00000000-0005-0000-0000-000029000000}"/>
    <cellStyle name="BlankRowJERefCol" xfId="37" xr:uid="{00000000-0005-0000-0000-00002A000000}"/>
    <cellStyle name="ClassifiedGroupTotalRowBalanceCol" xfId="38" xr:uid="{00000000-0005-0000-0000-00002B000000}"/>
    <cellStyle name="ClassifiedGroupTotalRowDescCol" xfId="39" xr:uid="{00000000-0005-0000-0000-00002C000000}"/>
    <cellStyle name="ClassifiedGroupTotalRowJERefCol" xfId="40" xr:uid="{00000000-0005-0000-0000-00002D000000}"/>
    <cellStyle name="ClassifiedGroupTotalRowNameCol" xfId="41" xr:uid="{00000000-0005-0000-0000-00002E000000}"/>
    <cellStyle name="ClassifiedGroupTotalRowSpacerCol" xfId="134" xr:uid="{00000000-0005-0000-0000-00002F000000}"/>
    <cellStyle name="ClassifiedGroupTotalRowVarPectCol" xfId="42" xr:uid="{00000000-0005-0000-0000-000030000000}"/>
    <cellStyle name="ClassifiedGroupTotalRowWPRefCol" xfId="43" xr:uid="{00000000-0005-0000-0000-000031000000}"/>
    <cellStyle name="ColumnHeaderRowBalanceCol" xfId="44" xr:uid="{00000000-0005-0000-0000-000032000000}"/>
    <cellStyle name="ColumnHeaderRowBlankCol" xfId="45" xr:uid="{00000000-0005-0000-0000-000033000000}"/>
    <cellStyle name="ColumnHeaderRowCreditCol" xfId="46" xr:uid="{00000000-0005-0000-0000-000034000000}"/>
    <cellStyle name="ColumnHeaderRowDebitCol" xfId="47" xr:uid="{00000000-0005-0000-0000-000035000000}"/>
    <cellStyle name="ColumnHeaderRowDescCol" xfId="48" xr:uid="{00000000-0005-0000-0000-000036000000}"/>
    <cellStyle name="ColumnHeaderRowJERefCol" xfId="49" xr:uid="{00000000-0005-0000-0000-000037000000}"/>
    <cellStyle name="ColumnHeaderRowNameCol" xfId="50" xr:uid="{00000000-0005-0000-0000-000038000000}"/>
    <cellStyle name="ColumnHeaderRowSpacerCol" xfId="131" xr:uid="{00000000-0005-0000-0000-000039000000}"/>
    <cellStyle name="ColumnHeaderRowVarPectCol" xfId="51" xr:uid="{00000000-0005-0000-0000-00003A000000}"/>
    <cellStyle name="ColumnHeaderRowWPRefCol" xfId="52" xr:uid="{00000000-0005-0000-0000-00003B000000}"/>
    <cellStyle name="ColumnMetadataRowBalanceCol" xfId="53" xr:uid="{00000000-0005-0000-0000-00003C000000}"/>
    <cellStyle name="ColumnMetadataRowDescCol" xfId="54" xr:uid="{00000000-0005-0000-0000-00003D000000}"/>
    <cellStyle name="ColumnMetadataRowJERefCol" xfId="55" xr:uid="{00000000-0005-0000-0000-00003E000000}"/>
    <cellStyle name="ColumnMetadataRowNameCol" xfId="56" xr:uid="{00000000-0005-0000-0000-00003F000000}"/>
    <cellStyle name="ColumnMetadataRowSpacerCol" xfId="130" xr:uid="{00000000-0005-0000-0000-000040000000}"/>
    <cellStyle name="ColumnMetadataRowVarPectCol" xfId="57" xr:uid="{00000000-0005-0000-0000-000041000000}"/>
    <cellStyle name="ColumnMetadataRowWPRefCol" xfId="58" xr:uid="{00000000-0005-0000-0000-000042000000}"/>
    <cellStyle name="Comma" xfId="147" builtinId="3"/>
    <cellStyle name="FundHeaderRowCol.*" xfId="59" xr:uid="{00000000-0005-0000-0000-000043000000}"/>
    <cellStyle name="FundHeaderRowCol.1" xfId="60" xr:uid="{00000000-0005-0000-0000-000044000000}"/>
    <cellStyle name="FundHeaderRowCol.2" xfId="61" xr:uid="{00000000-0005-0000-0000-000045000000}"/>
    <cellStyle name="FundHeaderRowCol.Desc" xfId="145" xr:uid="{00000000-0005-0000-0000-000046000000}"/>
    <cellStyle name="FundSectionHeaderRowDescCol" xfId="62" xr:uid="{00000000-0005-0000-0000-000047000000}"/>
    <cellStyle name="FundSectionHeaderRowJERefCol" xfId="63" xr:uid="{00000000-0005-0000-0000-000048000000}"/>
    <cellStyle name="FundSectionHeaderRowNameCol" xfId="64" xr:uid="{00000000-0005-0000-0000-000049000000}"/>
    <cellStyle name="GroupSectionHeaderRowBalance" xfId="65" xr:uid="{00000000-0005-0000-0000-00004A000000}"/>
    <cellStyle name="GroupSectionHeaderRowDescCol" xfId="66" xr:uid="{00000000-0005-0000-0000-00004B000000}"/>
    <cellStyle name="GroupSectionHeaderRowNameCol" xfId="67" xr:uid="{00000000-0005-0000-0000-00004C000000}"/>
    <cellStyle name="GroupSelectionHeaderRowJERefCol" xfId="68" xr:uid="{00000000-0005-0000-0000-00004D000000}"/>
    <cellStyle name="JEDescriptionRowNameCol" xfId="69" xr:uid="{00000000-0005-0000-0000-00004E000000}"/>
    <cellStyle name="JEDetailRowCreditCol" xfId="70" xr:uid="{00000000-0005-0000-0000-00004F000000}"/>
    <cellStyle name="JEDetailRowDebitCol" xfId="71" xr:uid="{00000000-0005-0000-0000-000050000000}"/>
    <cellStyle name="JEDetailRowDescCol" xfId="72" xr:uid="{00000000-0005-0000-0000-000051000000}"/>
    <cellStyle name="JEDetailRowNameCol" xfId="73" xr:uid="{00000000-0005-0000-0000-000052000000}"/>
    <cellStyle name="JEDetailRowSpacerCol" xfId="141" xr:uid="{00000000-0005-0000-0000-000053000000}"/>
    <cellStyle name="JEDetailRowWPRefCol" xfId="74" xr:uid="{00000000-0005-0000-0000-000054000000}"/>
    <cellStyle name="JEFundSectionHeaderRowDescCol" xfId="128" xr:uid="{00000000-0005-0000-0000-000055000000}"/>
    <cellStyle name="JEFundSectionHeaderRowNameCol" xfId="127" xr:uid="{00000000-0005-0000-0000-000056000000}"/>
    <cellStyle name="JEIdentityRowDescCol" xfId="75" xr:uid="{00000000-0005-0000-0000-000057000000}"/>
    <cellStyle name="JEIdentityRowNameCol" xfId="76" xr:uid="{00000000-0005-0000-0000-000058000000}"/>
    <cellStyle name="JEIdentityRowSpacerCol" xfId="142" xr:uid="{00000000-0005-0000-0000-000059000000}"/>
    <cellStyle name="JEIdentityRowWPRefCol" xfId="77" xr:uid="{00000000-0005-0000-0000-00005A000000}"/>
    <cellStyle name="JETotalRowCreditCol" xfId="78" xr:uid="{00000000-0005-0000-0000-00005B000000}"/>
    <cellStyle name="JETotalRowDebitCol" xfId="79" xr:uid="{00000000-0005-0000-0000-00005C000000}"/>
    <cellStyle name="JETotalRowDescCol" xfId="80" xr:uid="{00000000-0005-0000-0000-00005D000000}"/>
    <cellStyle name="JETotalRowNameCol" xfId="81" xr:uid="{00000000-0005-0000-0000-00005E000000}"/>
    <cellStyle name="JETotalRowSpacerCol" xfId="143" xr:uid="{00000000-0005-0000-0000-00005F000000}"/>
    <cellStyle name="JETotalRowWPRefCol" xfId="82" xr:uid="{00000000-0005-0000-0000-000060000000}"/>
    <cellStyle name="JETypeDescriptionRowDescCol" xfId="83" xr:uid="{00000000-0005-0000-0000-000061000000}"/>
    <cellStyle name="JETypeDescriptionRowNameCol" xfId="84" xr:uid="{00000000-0005-0000-0000-000062000000}"/>
    <cellStyle name="NetIncomeLossRowBalanceCol" xfId="85" xr:uid="{00000000-0005-0000-0000-000063000000}"/>
    <cellStyle name="NetIncomeLossRowDescCol" xfId="86" xr:uid="{00000000-0005-0000-0000-000064000000}"/>
    <cellStyle name="NetIncomeLossRowJERefCol" xfId="87" xr:uid="{00000000-0005-0000-0000-000065000000}"/>
    <cellStyle name="NetIncomeLossRowNameCol" xfId="144" xr:uid="{00000000-0005-0000-0000-000066000000}"/>
    <cellStyle name="NetIncomeLossRowSpacerCol" xfId="137" xr:uid="{00000000-0005-0000-0000-000067000000}"/>
    <cellStyle name="NetIncomeLossRowVarPectCol" xfId="88" xr:uid="{00000000-0005-0000-0000-000068000000}"/>
    <cellStyle name="NetIncomeLossRowWPRefCol" xfId="89" xr:uid="{00000000-0005-0000-0000-000069000000}"/>
    <cellStyle name="Normal" xfId="0" builtinId="0"/>
    <cellStyle name="Normal 2" xfId="90" xr:uid="{00000000-0005-0000-0000-00006B000000}"/>
    <cellStyle name="ReportHeaderRowCol.*" xfId="91" xr:uid="{00000000-0005-0000-0000-00006C000000}"/>
    <cellStyle name="ReportHeaderRowCol.1" xfId="92" xr:uid="{00000000-0005-0000-0000-00006D000000}"/>
    <cellStyle name="ReportHeaderRowCol.2" xfId="93" xr:uid="{00000000-0005-0000-0000-00006E000000}"/>
    <cellStyle name="ReportHeaderRowCol.Date" xfId="94" xr:uid="{00000000-0005-0000-0000-00006F000000}"/>
    <cellStyle name="SubgroupSectionHeaderRowBalanceCol" xfId="95" xr:uid="{00000000-0005-0000-0000-000070000000}"/>
    <cellStyle name="SubgroupSectionHeaderRowDescCol" xfId="96" xr:uid="{00000000-0005-0000-0000-000071000000}"/>
    <cellStyle name="SubgroupSectionHeaderRowNameCol" xfId="97" xr:uid="{00000000-0005-0000-0000-000072000000}"/>
    <cellStyle name="SubGroupSelectionHeaderRowJERefCol" xfId="98" xr:uid="{00000000-0005-0000-0000-000073000000}"/>
    <cellStyle name="SubgroupSubtotalRowBalanceCol" xfId="99" xr:uid="{00000000-0005-0000-0000-000074000000}"/>
    <cellStyle name="SubgroupSubtotalRowDescCol" xfId="100" xr:uid="{00000000-0005-0000-0000-000075000000}"/>
    <cellStyle name="SubgroupSubtotalRowJERefCol" xfId="101" xr:uid="{00000000-0005-0000-0000-000076000000}"/>
    <cellStyle name="SubgroupSubtotalRowNameCol" xfId="102" xr:uid="{00000000-0005-0000-0000-000077000000}"/>
    <cellStyle name="SubgroupSubtotalRowSpacerCol" xfId="133" xr:uid="{00000000-0005-0000-0000-000078000000}"/>
    <cellStyle name="SubgroupSubtotalRowVarPectCol" xfId="103" xr:uid="{00000000-0005-0000-0000-000079000000}"/>
    <cellStyle name="SubgroupSubtotalRowWPRefCol" xfId="104" xr:uid="{00000000-0005-0000-0000-00007A000000}"/>
    <cellStyle name="SumAccountGroupsRowBalanceCol" xfId="105" xr:uid="{00000000-0005-0000-0000-00007B000000}"/>
    <cellStyle name="SumAccountGroupsRowDescCol" xfId="106" xr:uid="{00000000-0005-0000-0000-00007C000000}"/>
    <cellStyle name="SumAccountGroupsRowJERefCol" xfId="107" xr:uid="{00000000-0005-0000-0000-00007D000000}"/>
    <cellStyle name="SumAccountGroupsRowNameCol" xfId="108" xr:uid="{00000000-0005-0000-0000-00007E000000}"/>
    <cellStyle name="SumAccountGroupsRowSpacerCol" xfId="138" xr:uid="{00000000-0005-0000-0000-00007F000000}"/>
    <cellStyle name="SumAccountGroupsRowVarPectCol" xfId="109" xr:uid="{00000000-0005-0000-0000-000080000000}"/>
    <cellStyle name="SumAccountGroupsRowWPRefCol" xfId="110" xr:uid="{00000000-0005-0000-0000-000081000000}"/>
    <cellStyle name="TotalRow" xfId="111" xr:uid="{00000000-0005-0000-0000-000082000000}"/>
    <cellStyle name="TotalRowCreditCol" xfId="112" xr:uid="{00000000-0005-0000-0000-000083000000}"/>
    <cellStyle name="TotalRowDebitCol" xfId="113" xr:uid="{00000000-0005-0000-0000-000084000000}"/>
    <cellStyle name="TransactionRowAcctDescCol" xfId="114" xr:uid="{00000000-0005-0000-0000-000085000000}"/>
    <cellStyle name="TransactionRowAcctNumCol" xfId="115" xr:uid="{00000000-0005-0000-0000-000086000000}"/>
    <cellStyle name="TransactionRowCreditCol" xfId="116" xr:uid="{00000000-0005-0000-0000-000087000000}"/>
    <cellStyle name="TransactionRowDateCol" xfId="117" xr:uid="{00000000-0005-0000-0000-000088000000}"/>
    <cellStyle name="TransactionRowDebitCol" xfId="118" xr:uid="{00000000-0005-0000-0000-000089000000}"/>
    <cellStyle name="TransactionRowRefCol" xfId="119" xr:uid="{00000000-0005-0000-0000-00008A000000}"/>
    <cellStyle name="TransactionRowTransactionCol" xfId="120" xr:uid="{00000000-0005-0000-0000-00008B000000}"/>
    <cellStyle name="UnclassifiedTotalRowBalanceCol" xfId="121" xr:uid="{00000000-0005-0000-0000-00008C000000}"/>
    <cellStyle name="UnclassifiedTotalRowDescCol" xfId="122" xr:uid="{00000000-0005-0000-0000-00008D000000}"/>
    <cellStyle name="UnclassifiedTotalRowJERefCol" xfId="123" xr:uid="{00000000-0005-0000-0000-00008E000000}"/>
    <cellStyle name="UnclassifiedTotalRowNameCol" xfId="124" xr:uid="{00000000-0005-0000-0000-00008F000000}"/>
    <cellStyle name="UnclassifiedTotalRowSpacerCol" xfId="139" xr:uid="{00000000-0005-0000-0000-000090000000}"/>
    <cellStyle name="UnclassifiedTotalRowVarPectCol" xfId="125" xr:uid="{00000000-0005-0000-0000-000091000000}"/>
    <cellStyle name="UnclassifiedTotalRowWPRefCol" xfId="126" xr:uid="{00000000-0005-0000-0000-000092000000}"/>
  </cellStyles>
  <dxfs count="0"/>
  <tableStyles count="0" defaultTableStyle="TableStyleMedium9" defaultPivotStyle="PivotStyleLight16"/>
  <colors>
    <mruColors>
      <color rgb="FF0000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8</xdr:col>
      <xdr:colOff>0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09600" y="33337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5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609600" y="81915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8</xdr:row>
      <xdr:rowOff>9525</xdr:rowOff>
    </xdr:from>
    <xdr:to>
      <xdr:col>8</xdr:col>
      <xdr:colOff>0</xdr:colOff>
      <xdr:row>10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09600" y="130492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11</xdr:row>
      <xdr:rowOff>9525</xdr:rowOff>
    </xdr:from>
    <xdr:to>
      <xdr:col>8</xdr:col>
      <xdr:colOff>0</xdr:colOff>
      <xdr:row>13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09600" y="179070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14</xdr:row>
      <xdr:rowOff>9525</xdr:rowOff>
    </xdr:from>
    <xdr:to>
      <xdr:col>8</xdr:col>
      <xdr:colOff>0</xdr:colOff>
      <xdr:row>16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609600" y="227647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17</xdr:row>
      <xdr:rowOff>9525</xdr:rowOff>
    </xdr:from>
    <xdr:to>
      <xdr:col>8</xdr:col>
      <xdr:colOff>0</xdr:colOff>
      <xdr:row>19</xdr:row>
      <xdr:rowOff>0</xdr:rowOff>
    </xdr:to>
    <xdr:sp macro="" textlink="">
      <xdr:nvSpPr>
        <xdr:cNvPr id="7" name="Text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09600" y="276225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20</xdr:row>
      <xdr:rowOff>9525</xdr:rowOff>
    </xdr:from>
    <xdr:to>
      <xdr:col>8</xdr:col>
      <xdr:colOff>0</xdr:colOff>
      <xdr:row>22</xdr:row>
      <xdr:rowOff>0</xdr:rowOff>
    </xdr:to>
    <xdr:sp macro="" textlink="">
      <xdr:nvSpPr>
        <xdr:cNvPr id="8" name="Text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609600" y="324802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23</xdr:row>
      <xdr:rowOff>9525</xdr:rowOff>
    </xdr:from>
    <xdr:to>
      <xdr:col>8</xdr:col>
      <xdr:colOff>0</xdr:colOff>
      <xdr:row>25</xdr:row>
      <xdr:rowOff>0</xdr:rowOff>
    </xdr:to>
    <xdr:sp macro="" textlink="">
      <xdr:nvSpPr>
        <xdr:cNvPr id="9" name="Text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609600" y="373380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26</xdr:row>
      <xdr:rowOff>9525</xdr:rowOff>
    </xdr:from>
    <xdr:to>
      <xdr:col>8</xdr:col>
      <xdr:colOff>0</xdr:colOff>
      <xdr:row>28</xdr:row>
      <xdr:rowOff>0</xdr:rowOff>
    </xdr:to>
    <xdr:sp macro="" textlink="">
      <xdr:nvSpPr>
        <xdr:cNvPr id="10" name="Text 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609600" y="421957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29</xdr:row>
      <xdr:rowOff>9525</xdr:rowOff>
    </xdr:from>
    <xdr:to>
      <xdr:col>8</xdr:col>
      <xdr:colOff>0</xdr:colOff>
      <xdr:row>31</xdr:row>
      <xdr:rowOff>0</xdr:rowOff>
    </xdr:to>
    <xdr:sp macro="" textlink="">
      <xdr:nvSpPr>
        <xdr:cNvPr id="11" name="Text 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609600" y="470535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32</xdr:row>
      <xdr:rowOff>9525</xdr:rowOff>
    </xdr:from>
    <xdr:to>
      <xdr:col>8</xdr:col>
      <xdr:colOff>0</xdr:colOff>
      <xdr:row>34</xdr:row>
      <xdr:rowOff>0</xdr:rowOff>
    </xdr:to>
    <xdr:sp macro="" textlink="">
      <xdr:nvSpPr>
        <xdr:cNvPr id="12" name="Text 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609600" y="519112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35</xdr:row>
      <xdr:rowOff>9525</xdr:rowOff>
    </xdr:from>
    <xdr:to>
      <xdr:col>8</xdr:col>
      <xdr:colOff>0</xdr:colOff>
      <xdr:row>37</xdr:row>
      <xdr:rowOff>0</xdr:rowOff>
    </xdr:to>
    <xdr:sp macro="" textlink="">
      <xdr:nvSpPr>
        <xdr:cNvPr id="13" name="Text 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609600" y="567690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38</xdr:row>
      <xdr:rowOff>9525</xdr:rowOff>
    </xdr:from>
    <xdr:to>
      <xdr:col>8</xdr:col>
      <xdr:colOff>0</xdr:colOff>
      <xdr:row>40</xdr:row>
      <xdr:rowOff>0</xdr:rowOff>
    </xdr:to>
    <xdr:sp macro="" textlink="">
      <xdr:nvSpPr>
        <xdr:cNvPr id="14" name="Text 1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609600" y="616267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41</xdr:row>
      <xdr:rowOff>9525</xdr:rowOff>
    </xdr:from>
    <xdr:to>
      <xdr:col>8</xdr:col>
      <xdr:colOff>0</xdr:colOff>
      <xdr:row>43</xdr:row>
      <xdr:rowOff>0</xdr:rowOff>
    </xdr:to>
    <xdr:sp macro="" textlink="">
      <xdr:nvSpPr>
        <xdr:cNvPr id="15" name="Text 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609600" y="664845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44</xdr:row>
      <xdr:rowOff>9525</xdr:rowOff>
    </xdr:from>
    <xdr:to>
      <xdr:col>8</xdr:col>
      <xdr:colOff>0</xdr:colOff>
      <xdr:row>46</xdr:row>
      <xdr:rowOff>0</xdr:rowOff>
    </xdr:to>
    <xdr:sp macro="" textlink="">
      <xdr:nvSpPr>
        <xdr:cNvPr id="16" name="Text 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609600" y="713422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47</xdr:row>
      <xdr:rowOff>9525</xdr:rowOff>
    </xdr:from>
    <xdr:to>
      <xdr:col>8</xdr:col>
      <xdr:colOff>0</xdr:colOff>
      <xdr:row>49</xdr:row>
      <xdr:rowOff>0</xdr:rowOff>
    </xdr:to>
    <xdr:sp macro="" textlink="">
      <xdr:nvSpPr>
        <xdr:cNvPr id="17" name="Text 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609600" y="762000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50</xdr:row>
      <xdr:rowOff>9525</xdr:rowOff>
    </xdr:from>
    <xdr:to>
      <xdr:col>8</xdr:col>
      <xdr:colOff>0</xdr:colOff>
      <xdr:row>52</xdr:row>
      <xdr:rowOff>0</xdr:rowOff>
    </xdr:to>
    <xdr:sp macro="" textlink="">
      <xdr:nvSpPr>
        <xdr:cNvPr id="18" name="Text 1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609600" y="810577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53</xdr:row>
      <xdr:rowOff>9525</xdr:rowOff>
    </xdr:from>
    <xdr:to>
      <xdr:col>8</xdr:col>
      <xdr:colOff>0</xdr:colOff>
      <xdr:row>55</xdr:row>
      <xdr:rowOff>0</xdr:rowOff>
    </xdr:to>
    <xdr:sp macro="" textlink="">
      <xdr:nvSpPr>
        <xdr:cNvPr id="19" name="Text 1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609600" y="859155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56</xdr:row>
      <xdr:rowOff>9525</xdr:rowOff>
    </xdr:from>
    <xdr:to>
      <xdr:col>8</xdr:col>
      <xdr:colOff>0</xdr:colOff>
      <xdr:row>58</xdr:row>
      <xdr:rowOff>0</xdr:rowOff>
    </xdr:to>
    <xdr:sp macro="" textlink="">
      <xdr:nvSpPr>
        <xdr:cNvPr id="20" name="Text 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609600" y="907732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59</xdr:row>
      <xdr:rowOff>9525</xdr:rowOff>
    </xdr:from>
    <xdr:to>
      <xdr:col>8</xdr:col>
      <xdr:colOff>0</xdr:colOff>
      <xdr:row>61</xdr:row>
      <xdr:rowOff>0</xdr:rowOff>
    </xdr:to>
    <xdr:sp macro="" textlink="">
      <xdr:nvSpPr>
        <xdr:cNvPr id="21" name="Text 1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609600" y="956310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62</xdr:row>
      <xdr:rowOff>9525</xdr:rowOff>
    </xdr:from>
    <xdr:to>
      <xdr:col>8</xdr:col>
      <xdr:colOff>0</xdr:colOff>
      <xdr:row>64</xdr:row>
      <xdr:rowOff>0</xdr:rowOff>
    </xdr:to>
    <xdr:sp macro="" textlink="">
      <xdr:nvSpPr>
        <xdr:cNvPr id="22" name="Text 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609600" y="1004887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65</xdr:row>
      <xdr:rowOff>9525</xdr:rowOff>
    </xdr:from>
    <xdr:to>
      <xdr:col>8</xdr:col>
      <xdr:colOff>0</xdr:colOff>
      <xdr:row>67</xdr:row>
      <xdr:rowOff>0</xdr:rowOff>
    </xdr:to>
    <xdr:sp macro="" textlink="">
      <xdr:nvSpPr>
        <xdr:cNvPr id="23" name="Text 1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609600" y="1053465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68</xdr:row>
      <xdr:rowOff>9525</xdr:rowOff>
    </xdr:from>
    <xdr:to>
      <xdr:col>8</xdr:col>
      <xdr:colOff>0</xdr:colOff>
      <xdr:row>70</xdr:row>
      <xdr:rowOff>0</xdr:rowOff>
    </xdr:to>
    <xdr:sp macro="" textlink="">
      <xdr:nvSpPr>
        <xdr:cNvPr id="24" name="Text 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609600" y="1102042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71</xdr:row>
      <xdr:rowOff>9525</xdr:rowOff>
    </xdr:from>
    <xdr:to>
      <xdr:col>8</xdr:col>
      <xdr:colOff>0</xdr:colOff>
      <xdr:row>73</xdr:row>
      <xdr:rowOff>0</xdr:rowOff>
    </xdr:to>
    <xdr:sp macro="" textlink="">
      <xdr:nvSpPr>
        <xdr:cNvPr id="25" name="Text 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609600" y="1150620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74</xdr:row>
      <xdr:rowOff>9525</xdr:rowOff>
    </xdr:from>
    <xdr:to>
      <xdr:col>8</xdr:col>
      <xdr:colOff>0</xdr:colOff>
      <xdr:row>76</xdr:row>
      <xdr:rowOff>0</xdr:rowOff>
    </xdr:to>
    <xdr:sp macro="" textlink="">
      <xdr:nvSpPr>
        <xdr:cNvPr id="26" name="Text 1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609600" y="11991975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77</xdr:row>
      <xdr:rowOff>9525</xdr:rowOff>
    </xdr:from>
    <xdr:to>
      <xdr:col>8</xdr:col>
      <xdr:colOff>0</xdr:colOff>
      <xdr:row>79</xdr:row>
      <xdr:rowOff>0</xdr:rowOff>
    </xdr:to>
    <xdr:sp macro="" textlink="">
      <xdr:nvSpPr>
        <xdr:cNvPr id="27" name="Text 1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609600" y="12477750"/>
          <a:ext cx="426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/>
        <a:lstStyle/>
        <a:p>
          <a:endParaRPr 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Microsoft%20Office\Root\Office16\LIBRARY\epace.xla" TargetMode="External"/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  <sheetName val="epace"/>
    </sheetNames>
    <definedNames>
      <definedName name="CPEDATE"/>
      <definedName name="DDIFF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BO1250"/>
  <sheetViews>
    <sheetView tabSelected="1" view="pageBreakPreview" topLeftCell="E1" zoomScaleNormal="90" zoomScaleSheetLayoutView="100" workbookViewId="0">
      <pane xSplit="2" ySplit="9" topLeftCell="O1084" activePane="bottomRight" state="frozen"/>
      <selection activeCell="E1" sqref="E1"/>
      <selection pane="topRight" activeCell="G1" sqref="G1"/>
      <selection pane="bottomLeft" activeCell="E10" sqref="E10"/>
      <selection pane="bottomRight" activeCell="P612" sqref="P612"/>
    </sheetView>
  </sheetViews>
  <sheetFormatPr defaultRowHeight="15" outlineLevelRow="1" x14ac:dyDescent="0.25"/>
  <cols>
    <col min="1" max="4" width="0" hidden="1" customWidth="1"/>
    <col min="5" max="5" width="19.7109375" bestFit="1" customWidth="1"/>
    <col min="6" max="6" width="37" customWidth="1"/>
    <col min="7" max="7" width="14.7109375" hidden="1" customWidth="1"/>
    <col min="8" max="8" width="6.7109375" hidden="1" customWidth="1"/>
    <col min="9" max="9" width="8.28515625" hidden="1" customWidth="1"/>
    <col min="10" max="10" width="14.7109375" hidden="1" customWidth="1"/>
    <col min="11" max="11" width="6.7109375" hidden="1" customWidth="1"/>
    <col min="12" max="12" width="8.28515625" hidden="1" customWidth="1"/>
    <col min="13" max="13" width="14.7109375" hidden="1" customWidth="1"/>
    <col min="14" max="14" width="6.7109375" hidden="1" customWidth="1"/>
    <col min="15" max="15" width="14.7109375" customWidth="1"/>
    <col min="16" max="16" width="16.85546875" customWidth="1"/>
    <col min="17" max="17" width="14.7109375" customWidth="1"/>
    <col min="18" max="18" width="6.7109375" hidden="1" customWidth="1"/>
    <col min="19" max="19" width="14.7109375" hidden="1" customWidth="1"/>
    <col min="20" max="20" width="6.7109375" hidden="1" customWidth="1"/>
    <col min="21" max="21" width="12" bestFit="1" customWidth="1"/>
    <col min="22" max="22" width="18.28515625" style="63" customWidth="1"/>
  </cols>
  <sheetData>
    <row r="1" spans="1:67" x14ac:dyDescent="0.25">
      <c r="A1" t="s">
        <v>27</v>
      </c>
      <c r="E1" s="27" t="s">
        <v>28</v>
      </c>
      <c r="F1" s="28" t="str">
        <f>[1]!HEADERCLIENT()</f>
        <v/>
      </c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1"/>
      <c r="V1" s="62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</row>
    <row r="2" spans="1:67" x14ac:dyDescent="0.25">
      <c r="A2" t="s">
        <v>29</v>
      </c>
      <c r="E2" s="27" t="s">
        <v>30</v>
      </c>
      <c r="F2" s="28" t="str">
        <f>[1]!HEADERENGAGEMENT()</f>
        <v/>
      </c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1"/>
      <c r="V2" s="62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</row>
    <row r="3" spans="1:67" x14ac:dyDescent="0.25">
      <c r="A3" t="s">
        <v>31</v>
      </c>
      <c r="E3" s="27" t="s">
        <v>32</v>
      </c>
      <c r="F3" s="29">
        <f>[1]!CPEDATE()</f>
        <v>0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1"/>
      <c r="V3" s="62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</row>
    <row r="4" spans="1:67" x14ac:dyDescent="0.25">
      <c r="A4" t="s">
        <v>33</v>
      </c>
      <c r="E4" s="27" t="s">
        <v>34</v>
      </c>
      <c r="F4" s="28" t="str">
        <f>[1]!HEADERTB()</f>
        <v/>
      </c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1"/>
      <c r="V4" s="6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</row>
    <row r="5" spans="1:67" x14ac:dyDescent="0.25">
      <c r="A5" t="s">
        <v>35</v>
      </c>
      <c r="E5" s="27" t="s">
        <v>36</v>
      </c>
      <c r="F5" s="28" t="str">
        <f>[1]!HEADERWORKPAPER()</f>
        <v/>
      </c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1"/>
      <c r="V5" s="62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</row>
    <row r="6" spans="1:67" hidden="1" x14ac:dyDescent="0.25">
      <c r="A6" t="s">
        <v>37</v>
      </c>
      <c r="U6" s="1"/>
      <c r="V6" s="62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</row>
    <row r="7" spans="1:67" hidden="1" x14ac:dyDescent="0.25">
      <c r="A7" t="s">
        <v>38</v>
      </c>
      <c r="E7" s="30" t="s">
        <v>39</v>
      </c>
      <c r="F7" s="31" t="s">
        <v>40</v>
      </c>
      <c r="G7" s="24">
        <v>3</v>
      </c>
      <c r="H7" s="32" t="s">
        <v>41</v>
      </c>
      <c r="I7" s="33" t="s">
        <v>42</v>
      </c>
      <c r="J7" s="24">
        <v>4</v>
      </c>
      <c r="K7" s="32" t="s">
        <v>43</v>
      </c>
      <c r="L7" s="33" t="s">
        <v>44</v>
      </c>
      <c r="M7" s="24">
        <v>6</v>
      </c>
      <c r="N7" s="32" t="s">
        <v>45</v>
      </c>
      <c r="O7" s="24">
        <v>7</v>
      </c>
      <c r="P7" s="32" t="s">
        <v>46</v>
      </c>
      <c r="Q7" s="24">
        <v>200</v>
      </c>
      <c r="R7" s="32" t="s">
        <v>47</v>
      </c>
      <c r="S7" s="24">
        <v>30005</v>
      </c>
      <c r="T7" s="32" t="s">
        <v>48</v>
      </c>
      <c r="U7" s="1"/>
      <c r="V7" s="62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</row>
    <row r="8" spans="1:67" x14ac:dyDescent="0.25">
      <c r="A8" t="s">
        <v>49</v>
      </c>
      <c r="E8" s="34" t="s">
        <v>50</v>
      </c>
      <c r="F8" s="35" t="s">
        <v>51</v>
      </c>
      <c r="G8" s="36" t="s">
        <v>52</v>
      </c>
      <c r="H8" s="25"/>
      <c r="I8" s="37" t="s">
        <v>53</v>
      </c>
      <c r="J8" s="36" t="s">
        <v>54</v>
      </c>
      <c r="K8" s="25"/>
      <c r="L8" s="37" t="s">
        <v>53</v>
      </c>
      <c r="M8" s="36" t="s">
        <v>55</v>
      </c>
      <c r="N8" s="25"/>
      <c r="O8" s="36" t="s">
        <v>56</v>
      </c>
      <c r="P8" s="25"/>
      <c r="Q8" s="36" t="s">
        <v>57</v>
      </c>
      <c r="R8" s="25"/>
      <c r="S8" s="36" t="s">
        <v>58</v>
      </c>
      <c r="T8" s="25"/>
      <c r="U8" s="1"/>
      <c r="V8" s="62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</row>
    <row r="9" spans="1:67" x14ac:dyDescent="0.25">
      <c r="A9" t="s">
        <v>59</v>
      </c>
      <c r="E9" s="6"/>
      <c r="F9" s="9"/>
      <c r="G9" s="36" t="s">
        <v>2691</v>
      </c>
      <c r="H9" s="25"/>
      <c r="I9" s="18"/>
      <c r="J9" s="36" t="s">
        <v>2691</v>
      </c>
      <c r="K9" s="25"/>
      <c r="L9" s="18"/>
      <c r="M9" s="36" t="s">
        <v>2691</v>
      </c>
      <c r="N9" s="25"/>
      <c r="O9" s="36" t="s">
        <v>2691</v>
      </c>
      <c r="P9" s="25"/>
      <c r="Q9" s="36" t="s">
        <v>2676</v>
      </c>
      <c r="R9" s="25"/>
      <c r="S9" s="13"/>
      <c r="T9" s="25"/>
      <c r="U9" s="1"/>
      <c r="V9" s="62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</row>
    <row r="10" spans="1:67" x14ac:dyDescent="0.25">
      <c r="A10" t="s">
        <v>60</v>
      </c>
      <c r="E10" s="7"/>
      <c r="F10" s="10"/>
      <c r="G10" s="14"/>
      <c r="H10" s="26"/>
      <c r="I10" s="19"/>
      <c r="J10" s="14"/>
      <c r="K10" s="26"/>
      <c r="L10" s="19"/>
      <c r="M10" s="14"/>
      <c r="N10" s="26"/>
      <c r="O10" s="14"/>
      <c r="P10" s="26"/>
      <c r="Q10" s="14"/>
      <c r="R10" s="26"/>
      <c r="S10" s="14"/>
      <c r="T10" s="26"/>
      <c r="U10" s="1"/>
      <c r="V10" s="62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</row>
    <row r="11" spans="1:67" x14ac:dyDescent="0.25">
      <c r="A11" t="s">
        <v>61</v>
      </c>
      <c r="E11" s="38" t="s">
        <v>62</v>
      </c>
      <c r="F11" s="39" t="s">
        <v>63</v>
      </c>
      <c r="H11" s="1"/>
      <c r="K11" s="1"/>
      <c r="N11" s="1"/>
      <c r="P11" s="1"/>
      <c r="R11" s="1"/>
      <c r="T11" s="1"/>
      <c r="U11" s="1"/>
      <c r="V11" s="62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</row>
    <row r="12" spans="1:67" x14ac:dyDescent="0.25">
      <c r="A12" t="s">
        <v>64</v>
      </c>
      <c r="E12" s="40" t="s">
        <v>65</v>
      </c>
      <c r="F12" s="41" t="s">
        <v>66</v>
      </c>
      <c r="H12" s="1"/>
      <c r="K12" s="1"/>
      <c r="N12" s="1"/>
      <c r="P12" s="1"/>
      <c r="R12" s="1"/>
      <c r="T12" s="1"/>
      <c r="U12" s="1"/>
      <c r="V12" s="62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hidden="1" x14ac:dyDescent="0.25">
      <c r="A13" t="s">
        <v>67</v>
      </c>
      <c r="E13" s="42" t="s">
        <v>68</v>
      </c>
      <c r="F13" s="43" t="s">
        <v>69</v>
      </c>
      <c r="G13" s="14">
        <v>0</v>
      </c>
      <c r="H13" s="2"/>
      <c r="I13" s="19"/>
      <c r="J13" s="14">
        <v>0</v>
      </c>
      <c r="K13" s="2"/>
      <c r="L13" s="19"/>
      <c r="M13" s="14">
        <v>0</v>
      </c>
      <c r="N13" s="2"/>
      <c r="O13" s="14">
        <v>0</v>
      </c>
      <c r="P13" s="2"/>
      <c r="Q13" s="14">
        <v>0</v>
      </c>
      <c r="R13" s="2"/>
      <c r="S13" s="44">
        <f>[1]!DDIFF(0,0)</f>
        <v>0</v>
      </c>
      <c r="T13" s="2"/>
      <c r="U13" s="1"/>
      <c r="V13" s="62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</row>
    <row r="14" spans="1:67" hidden="1" x14ac:dyDescent="0.25">
      <c r="A14" t="s">
        <v>70</v>
      </c>
      <c r="E14" s="42" t="s">
        <v>71</v>
      </c>
      <c r="F14" s="43" t="s">
        <v>72</v>
      </c>
      <c r="G14" s="14">
        <v>0</v>
      </c>
      <c r="H14" s="2"/>
      <c r="I14" s="19"/>
      <c r="J14" s="14">
        <v>0</v>
      </c>
      <c r="K14" s="2"/>
      <c r="L14" s="19"/>
      <c r="M14" s="14">
        <v>0</v>
      </c>
      <c r="N14" s="2"/>
      <c r="O14" s="14">
        <v>0</v>
      </c>
      <c r="P14" s="2"/>
      <c r="Q14" s="14">
        <v>0</v>
      </c>
      <c r="R14" s="2"/>
      <c r="S14" s="44">
        <f>[1]!DDIFF(0,0)</f>
        <v>0</v>
      </c>
      <c r="T14" s="2"/>
      <c r="U14" s="1"/>
      <c r="V14" s="62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</row>
    <row r="15" spans="1:67" hidden="1" x14ac:dyDescent="0.25">
      <c r="A15" t="s">
        <v>73</v>
      </c>
      <c r="E15" s="42" t="s">
        <v>74</v>
      </c>
      <c r="F15" s="43" t="s">
        <v>75</v>
      </c>
      <c r="G15" s="14">
        <v>0</v>
      </c>
      <c r="H15" s="2"/>
      <c r="I15" s="19"/>
      <c r="J15" s="14">
        <v>0</v>
      </c>
      <c r="K15" s="2"/>
      <c r="L15" s="19"/>
      <c r="M15" s="14">
        <v>0</v>
      </c>
      <c r="N15" s="2"/>
      <c r="O15" s="14">
        <v>0</v>
      </c>
      <c r="P15" s="2"/>
      <c r="Q15" s="14">
        <v>0</v>
      </c>
      <c r="R15" s="2"/>
      <c r="S15" s="44">
        <f>[1]!DDIFF(0,0)</f>
        <v>0</v>
      </c>
      <c r="T15" s="2"/>
      <c r="U15" s="1"/>
      <c r="V15" s="62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</row>
    <row r="16" spans="1:67" hidden="1" x14ac:dyDescent="0.25">
      <c r="A16" t="s">
        <v>76</v>
      </c>
      <c r="E16" s="42" t="s">
        <v>77</v>
      </c>
      <c r="F16" s="43" t="s">
        <v>78</v>
      </c>
      <c r="G16" s="14">
        <v>0</v>
      </c>
      <c r="H16" s="2"/>
      <c r="I16" s="19"/>
      <c r="J16" s="14">
        <v>0</v>
      </c>
      <c r="K16" s="2"/>
      <c r="L16" s="19"/>
      <c r="M16" s="14">
        <v>0</v>
      </c>
      <c r="N16" s="2"/>
      <c r="O16" s="14">
        <v>0</v>
      </c>
      <c r="P16" s="2"/>
      <c r="Q16" s="14">
        <v>0</v>
      </c>
      <c r="R16" s="2"/>
      <c r="S16" s="44">
        <f>[1]!DDIFF(0,0)</f>
        <v>0</v>
      </c>
      <c r="T16" s="2"/>
      <c r="U16" s="1"/>
      <c r="V16" s="62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</row>
    <row r="17" spans="1:67" hidden="1" x14ac:dyDescent="0.25">
      <c r="A17" t="s">
        <v>79</v>
      </c>
      <c r="E17" s="42" t="s">
        <v>80</v>
      </c>
      <c r="F17" s="43" t="s">
        <v>81</v>
      </c>
      <c r="G17" s="14">
        <v>0</v>
      </c>
      <c r="H17" s="2"/>
      <c r="I17" s="19"/>
      <c r="J17" s="14">
        <v>0</v>
      </c>
      <c r="K17" s="2"/>
      <c r="L17" s="19"/>
      <c r="M17" s="14">
        <v>0</v>
      </c>
      <c r="N17" s="2"/>
      <c r="O17" s="14">
        <v>0</v>
      </c>
      <c r="P17" s="2"/>
      <c r="Q17" s="14">
        <v>0</v>
      </c>
      <c r="R17" s="2"/>
      <c r="S17" s="44">
        <f>[1]!DDIFF(0,0)</f>
        <v>0</v>
      </c>
      <c r="T17" s="2"/>
      <c r="U17" s="1"/>
      <c r="V17" s="62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 hidden="1" x14ac:dyDescent="0.25">
      <c r="A18" t="s">
        <v>82</v>
      </c>
      <c r="E18" s="42" t="s">
        <v>83</v>
      </c>
      <c r="F18" s="43" t="s">
        <v>84</v>
      </c>
      <c r="G18" s="14">
        <v>0</v>
      </c>
      <c r="H18" s="2"/>
      <c r="I18" s="19"/>
      <c r="J18" s="14">
        <v>0</v>
      </c>
      <c r="K18" s="2"/>
      <c r="L18" s="19"/>
      <c r="M18" s="14">
        <v>0</v>
      </c>
      <c r="N18" s="2"/>
      <c r="O18" s="14">
        <v>0</v>
      </c>
      <c r="P18" s="2"/>
      <c r="Q18" s="14">
        <v>0</v>
      </c>
      <c r="R18" s="2"/>
      <c r="S18" s="44">
        <f>[1]!DDIFF(0,0)</f>
        <v>0</v>
      </c>
      <c r="T18" s="2"/>
      <c r="U18" s="1"/>
      <c r="V18" s="62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</row>
    <row r="19" spans="1:67" hidden="1" x14ac:dyDescent="0.25">
      <c r="A19" t="s">
        <v>85</v>
      </c>
      <c r="E19" s="42" t="s">
        <v>86</v>
      </c>
      <c r="F19" s="43" t="s">
        <v>87</v>
      </c>
      <c r="G19" s="14">
        <v>0</v>
      </c>
      <c r="H19" s="2"/>
      <c r="I19" s="19"/>
      <c r="J19" s="14">
        <v>0</v>
      </c>
      <c r="K19" s="2"/>
      <c r="L19" s="19"/>
      <c r="M19" s="14">
        <v>0</v>
      </c>
      <c r="N19" s="2"/>
      <c r="O19" s="14">
        <v>0</v>
      </c>
      <c r="P19" s="2"/>
      <c r="Q19" s="14">
        <v>0</v>
      </c>
      <c r="R19" s="2"/>
      <c r="S19" s="44">
        <f>[1]!DDIFF(0,0)</f>
        <v>0</v>
      </c>
      <c r="T19" s="2"/>
      <c r="U19" s="1"/>
      <c r="V19" s="62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</row>
    <row r="20" spans="1:67" x14ac:dyDescent="0.25">
      <c r="A20" t="s">
        <v>88</v>
      </c>
      <c r="E20" s="42" t="s">
        <v>89</v>
      </c>
      <c r="F20" s="43" t="s">
        <v>90</v>
      </c>
      <c r="G20" s="14">
        <v>2127</v>
      </c>
      <c r="H20" s="2"/>
      <c r="I20" s="19"/>
      <c r="J20" s="14">
        <v>0</v>
      </c>
      <c r="K20" s="2"/>
      <c r="L20" s="19"/>
      <c r="M20" s="14">
        <v>0</v>
      </c>
      <c r="N20" s="2"/>
      <c r="O20" s="14">
        <v>2127</v>
      </c>
      <c r="P20" s="55" t="s">
        <v>2863</v>
      </c>
      <c r="Q20" s="14">
        <v>2127</v>
      </c>
      <c r="R20" s="2"/>
      <c r="S20" s="44">
        <f>[1]!DDIFF(2127,2127)</f>
        <v>0</v>
      </c>
      <c r="T20" s="2"/>
      <c r="U20" s="1"/>
      <c r="V20" s="62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</row>
    <row r="21" spans="1:67" hidden="1" x14ac:dyDescent="0.25">
      <c r="A21" t="s">
        <v>91</v>
      </c>
      <c r="E21" s="42" t="s">
        <v>92</v>
      </c>
      <c r="F21" s="43" t="s">
        <v>93</v>
      </c>
      <c r="G21" s="14">
        <v>0</v>
      </c>
      <c r="H21" s="2"/>
      <c r="I21" s="19"/>
      <c r="J21" s="14">
        <v>0</v>
      </c>
      <c r="K21" s="2"/>
      <c r="L21" s="19"/>
      <c r="M21" s="14">
        <v>0</v>
      </c>
      <c r="N21" s="2"/>
      <c r="O21" s="14">
        <v>0</v>
      </c>
      <c r="P21" s="2"/>
      <c r="Q21" s="14">
        <v>0</v>
      </c>
      <c r="R21" s="2"/>
      <c r="S21" s="44">
        <f>[1]!DDIFF(0,0)</f>
        <v>0</v>
      </c>
      <c r="T21" s="2"/>
      <c r="U21" s="1"/>
      <c r="V21" s="62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</row>
    <row r="22" spans="1:67" hidden="1" x14ac:dyDescent="0.25">
      <c r="A22" t="s">
        <v>94</v>
      </c>
      <c r="E22" s="42" t="s">
        <v>95</v>
      </c>
      <c r="F22" s="43" t="s">
        <v>96</v>
      </c>
      <c r="G22" s="14">
        <v>0</v>
      </c>
      <c r="H22" s="2"/>
      <c r="I22" s="19"/>
      <c r="J22" s="14">
        <v>0</v>
      </c>
      <c r="K22" s="2"/>
      <c r="L22" s="19"/>
      <c r="M22" s="14">
        <v>0</v>
      </c>
      <c r="N22" s="2"/>
      <c r="O22" s="14">
        <v>0</v>
      </c>
      <c r="P22" s="2"/>
      <c r="Q22" s="14">
        <v>0</v>
      </c>
      <c r="R22" s="2"/>
      <c r="S22" s="44">
        <f>[1]!DDIFF(0,0)</f>
        <v>0</v>
      </c>
      <c r="T22" s="2"/>
      <c r="U22" s="1"/>
      <c r="V22" s="62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</row>
    <row r="23" spans="1:67" hidden="1" x14ac:dyDescent="0.25">
      <c r="A23" t="s">
        <v>97</v>
      </c>
      <c r="E23" s="42" t="s">
        <v>98</v>
      </c>
      <c r="F23" s="43" t="s">
        <v>99</v>
      </c>
      <c r="G23" s="14">
        <v>0</v>
      </c>
      <c r="H23" s="2"/>
      <c r="I23" s="19"/>
      <c r="J23" s="14">
        <v>0</v>
      </c>
      <c r="K23" s="2"/>
      <c r="L23" s="19"/>
      <c r="M23" s="14">
        <v>0</v>
      </c>
      <c r="N23" s="2"/>
      <c r="O23" s="14">
        <v>0</v>
      </c>
      <c r="P23" s="2"/>
      <c r="Q23" s="14">
        <v>0</v>
      </c>
      <c r="R23" s="2"/>
      <c r="S23" s="44">
        <f>[1]!DDIFF(0,0)</f>
        <v>0</v>
      </c>
      <c r="T23" s="2"/>
      <c r="U23" s="1"/>
      <c r="V23" s="62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</row>
    <row r="24" spans="1:67" hidden="1" x14ac:dyDescent="0.25">
      <c r="A24" t="s">
        <v>100</v>
      </c>
      <c r="E24" s="42" t="s">
        <v>101</v>
      </c>
      <c r="F24" s="43" t="s">
        <v>102</v>
      </c>
      <c r="G24" s="14">
        <v>0</v>
      </c>
      <c r="H24" s="2"/>
      <c r="I24" s="19"/>
      <c r="J24" s="14">
        <v>0</v>
      </c>
      <c r="K24" s="2"/>
      <c r="L24" s="19"/>
      <c r="M24" s="14">
        <v>0</v>
      </c>
      <c r="N24" s="2"/>
      <c r="O24" s="14">
        <v>0</v>
      </c>
      <c r="P24" s="2"/>
      <c r="Q24" s="14">
        <v>0</v>
      </c>
      <c r="R24" s="2"/>
      <c r="S24" s="44">
        <f>[1]!DDIFF(0,0)</f>
        <v>0</v>
      </c>
      <c r="T24" s="2"/>
      <c r="U24" s="1"/>
      <c r="V24" s="62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</row>
    <row r="25" spans="1:67" hidden="1" x14ac:dyDescent="0.25">
      <c r="A25" t="s">
        <v>103</v>
      </c>
      <c r="E25" s="42" t="s">
        <v>104</v>
      </c>
      <c r="F25" s="43" t="s">
        <v>105</v>
      </c>
      <c r="G25" s="14">
        <v>0</v>
      </c>
      <c r="H25" s="2"/>
      <c r="I25" s="19"/>
      <c r="J25" s="14">
        <v>0</v>
      </c>
      <c r="K25" s="2"/>
      <c r="L25" s="19"/>
      <c r="M25" s="14">
        <v>0</v>
      </c>
      <c r="N25" s="2"/>
      <c r="O25" s="14">
        <v>0</v>
      </c>
      <c r="P25" s="2"/>
      <c r="Q25" s="14">
        <v>0</v>
      </c>
      <c r="R25" s="2"/>
      <c r="S25" s="44">
        <f>[1]!DDIFF(0,0)</f>
        <v>0</v>
      </c>
      <c r="T25" s="2"/>
      <c r="U25" s="1"/>
      <c r="V25" s="62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</row>
    <row r="26" spans="1:67" hidden="1" x14ac:dyDescent="0.25">
      <c r="A26" t="s">
        <v>106</v>
      </c>
      <c r="E26" s="42" t="s">
        <v>107</v>
      </c>
      <c r="F26" s="43" t="s">
        <v>108</v>
      </c>
      <c r="G26" s="14">
        <v>0</v>
      </c>
      <c r="H26" s="2"/>
      <c r="I26" s="19"/>
      <c r="J26" s="14">
        <v>0</v>
      </c>
      <c r="K26" s="2"/>
      <c r="L26" s="19"/>
      <c r="M26" s="14">
        <v>0</v>
      </c>
      <c r="N26" s="2"/>
      <c r="O26" s="14">
        <v>0</v>
      </c>
      <c r="P26" s="2"/>
      <c r="Q26" s="14">
        <v>0</v>
      </c>
      <c r="R26" s="2"/>
      <c r="S26" s="44">
        <f>[1]!DDIFF(0,0)</f>
        <v>0</v>
      </c>
      <c r="T26" s="2"/>
      <c r="U26" s="1"/>
      <c r="V26" s="62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</row>
    <row r="27" spans="1:67" hidden="1" x14ac:dyDescent="0.25">
      <c r="A27" t="s">
        <v>109</v>
      </c>
      <c r="E27" s="42" t="s">
        <v>110</v>
      </c>
      <c r="F27" s="43" t="s">
        <v>111</v>
      </c>
      <c r="G27" s="14">
        <v>0</v>
      </c>
      <c r="H27" s="2"/>
      <c r="I27" s="19"/>
      <c r="J27" s="14">
        <v>0</v>
      </c>
      <c r="K27" s="2"/>
      <c r="L27" s="19"/>
      <c r="M27" s="14">
        <v>0</v>
      </c>
      <c r="N27" s="2"/>
      <c r="O27" s="14">
        <v>0</v>
      </c>
      <c r="P27" s="2"/>
      <c r="Q27" s="14">
        <v>0</v>
      </c>
      <c r="R27" s="2"/>
      <c r="S27" s="44">
        <f>[1]!DDIFF(0,0)</f>
        <v>0</v>
      </c>
      <c r="T27" s="2"/>
      <c r="U27" s="1"/>
      <c r="V27" s="62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</row>
    <row r="28" spans="1:67" hidden="1" x14ac:dyDescent="0.25">
      <c r="A28" t="s">
        <v>112</v>
      </c>
      <c r="E28" s="42" t="s">
        <v>113</v>
      </c>
      <c r="F28" s="43" t="s">
        <v>114</v>
      </c>
      <c r="G28" s="14">
        <v>0</v>
      </c>
      <c r="H28" s="2"/>
      <c r="I28" s="19"/>
      <c r="J28" s="14">
        <v>0</v>
      </c>
      <c r="K28" s="2"/>
      <c r="L28" s="19"/>
      <c r="M28" s="14">
        <v>0</v>
      </c>
      <c r="N28" s="2"/>
      <c r="O28" s="14">
        <v>0</v>
      </c>
      <c r="P28" s="2"/>
      <c r="Q28" s="14">
        <v>0</v>
      </c>
      <c r="R28" s="2"/>
      <c r="S28" s="44">
        <f>[1]!DDIFF(0,0)</f>
        <v>0</v>
      </c>
      <c r="T28" s="2"/>
      <c r="U28" s="1"/>
      <c r="V28" s="62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</row>
    <row r="29" spans="1:67" hidden="1" x14ac:dyDescent="0.25">
      <c r="A29" t="s">
        <v>115</v>
      </c>
      <c r="E29" s="42" t="s">
        <v>116</v>
      </c>
      <c r="F29" s="43" t="s">
        <v>69</v>
      </c>
      <c r="G29" s="14">
        <v>0</v>
      </c>
      <c r="H29" s="2"/>
      <c r="I29" s="19"/>
      <c r="J29" s="14">
        <v>0</v>
      </c>
      <c r="K29" s="2"/>
      <c r="L29" s="19"/>
      <c r="M29" s="14">
        <v>0</v>
      </c>
      <c r="N29" s="2"/>
      <c r="O29" s="14">
        <v>0</v>
      </c>
      <c r="P29" s="2"/>
      <c r="Q29" s="14">
        <v>0</v>
      </c>
      <c r="R29" s="2"/>
      <c r="S29" s="44">
        <f>[1]!DDIFF(0,0)</f>
        <v>0</v>
      </c>
      <c r="T29" s="2"/>
      <c r="U29" s="1"/>
      <c r="V29" s="62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</row>
    <row r="30" spans="1:67" hidden="1" x14ac:dyDescent="0.25">
      <c r="A30" t="s">
        <v>117</v>
      </c>
      <c r="E30" s="42" t="s">
        <v>118</v>
      </c>
      <c r="F30" s="43" t="s">
        <v>119</v>
      </c>
      <c r="G30" s="14">
        <v>0</v>
      </c>
      <c r="H30" s="2"/>
      <c r="I30" s="19"/>
      <c r="J30" s="14">
        <v>0</v>
      </c>
      <c r="K30" s="2"/>
      <c r="L30" s="19"/>
      <c r="M30" s="14">
        <v>0</v>
      </c>
      <c r="N30" s="2"/>
      <c r="O30" s="14">
        <v>0</v>
      </c>
      <c r="P30" s="2"/>
      <c r="Q30" s="14">
        <v>0</v>
      </c>
      <c r="R30" s="2"/>
      <c r="S30" s="44">
        <f>[1]!DDIFF(0,0)</f>
        <v>0</v>
      </c>
      <c r="T30" s="2"/>
      <c r="U30" s="1"/>
      <c r="V30" s="62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</row>
    <row r="31" spans="1:67" hidden="1" x14ac:dyDescent="0.25">
      <c r="A31" t="s">
        <v>120</v>
      </c>
      <c r="E31" s="42" t="s">
        <v>121</v>
      </c>
      <c r="F31" s="43" t="s">
        <v>93</v>
      </c>
      <c r="G31" s="14">
        <v>0</v>
      </c>
      <c r="H31" s="2"/>
      <c r="I31" s="19"/>
      <c r="J31" s="14">
        <v>0</v>
      </c>
      <c r="K31" s="2"/>
      <c r="L31" s="19"/>
      <c r="M31" s="14">
        <v>0</v>
      </c>
      <c r="N31" s="2"/>
      <c r="O31" s="14">
        <v>0</v>
      </c>
      <c r="P31" s="2"/>
      <c r="Q31" s="14">
        <v>0</v>
      </c>
      <c r="R31" s="2"/>
      <c r="S31" s="44">
        <f>[1]!DDIFF(0,0)</f>
        <v>0</v>
      </c>
      <c r="T31" s="2"/>
      <c r="U31" s="1"/>
      <c r="V31" s="62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</row>
    <row r="32" spans="1:67" hidden="1" x14ac:dyDescent="0.25">
      <c r="A32" t="s">
        <v>122</v>
      </c>
      <c r="E32" s="42" t="s">
        <v>123</v>
      </c>
      <c r="F32" s="43" t="s">
        <v>96</v>
      </c>
      <c r="G32" s="14">
        <v>0</v>
      </c>
      <c r="H32" s="2"/>
      <c r="I32" s="19"/>
      <c r="J32" s="14">
        <v>0</v>
      </c>
      <c r="K32" s="2"/>
      <c r="L32" s="19"/>
      <c r="M32" s="14">
        <v>0</v>
      </c>
      <c r="N32" s="2"/>
      <c r="O32" s="14">
        <v>0</v>
      </c>
      <c r="P32" s="2"/>
      <c r="Q32" s="14">
        <v>0</v>
      </c>
      <c r="R32" s="2"/>
      <c r="S32" s="44">
        <f>[1]!DDIFF(0,0)</f>
        <v>0</v>
      </c>
      <c r="T32" s="2"/>
      <c r="U32" s="1"/>
      <c r="V32" s="62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</row>
    <row r="33" spans="1:67" hidden="1" x14ac:dyDescent="0.25">
      <c r="A33" t="s">
        <v>124</v>
      </c>
      <c r="E33" s="42" t="s">
        <v>125</v>
      </c>
      <c r="F33" s="43" t="s">
        <v>99</v>
      </c>
      <c r="G33" s="14">
        <v>0</v>
      </c>
      <c r="H33" s="2"/>
      <c r="I33" s="19"/>
      <c r="J33" s="14">
        <v>0</v>
      </c>
      <c r="K33" s="2"/>
      <c r="L33" s="19"/>
      <c r="M33" s="14">
        <v>0</v>
      </c>
      <c r="N33" s="2"/>
      <c r="O33" s="14">
        <v>0</v>
      </c>
      <c r="P33" s="2"/>
      <c r="Q33" s="14">
        <v>0</v>
      </c>
      <c r="R33" s="2"/>
      <c r="S33" s="44">
        <f>[1]!DDIFF(0,0)</f>
        <v>0</v>
      </c>
      <c r="T33" s="2"/>
      <c r="U33" s="1"/>
      <c r="V33" s="62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</row>
    <row r="34" spans="1:67" hidden="1" x14ac:dyDescent="0.25">
      <c r="A34" t="s">
        <v>126</v>
      </c>
      <c r="E34" s="42" t="s">
        <v>127</v>
      </c>
      <c r="F34" s="43" t="s">
        <v>111</v>
      </c>
      <c r="G34" s="14">
        <v>0</v>
      </c>
      <c r="H34" s="2"/>
      <c r="I34" s="19"/>
      <c r="J34" s="14">
        <v>0</v>
      </c>
      <c r="K34" s="2"/>
      <c r="L34" s="19"/>
      <c r="M34" s="14">
        <v>0</v>
      </c>
      <c r="N34" s="2"/>
      <c r="O34" s="14">
        <v>0</v>
      </c>
      <c r="P34" s="2"/>
      <c r="Q34" s="14">
        <v>0</v>
      </c>
      <c r="R34" s="2"/>
      <c r="S34" s="44">
        <f>[1]!DDIFF(0,0)</f>
        <v>0</v>
      </c>
      <c r="T34" s="2"/>
      <c r="U34" s="1"/>
      <c r="V34" s="62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</row>
    <row r="35" spans="1:67" hidden="1" x14ac:dyDescent="0.25">
      <c r="A35" t="s">
        <v>128</v>
      </c>
      <c r="E35" s="42" t="s">
        <v>129</v>
      </c>
      <c r="F35" s="43" t="s">
        <v>114</v>
      </c>
      <c r="G35" s="14">
        <v>0</v>
      </c>
      <c r="H35" s="2"/>
      <c r="I35" s="19"/>
      <c r="J35" s="14">
        <v>0</v>
      </c>
      <c r="K35" s="2"/>
      <c r="L35" s="19"/>
      <c r="M35" s="14">
        <v>0</v>
      </c>
      <c r="N35" s="2"/>
      <c r="O35" s="14">
        <v>0</v>
      </c>
      <c r="P35" s="2"/>
      <c r="Q35" s="14">
        <v>0</v>
      </c>
      <c r="R35" s="2"/>
      <c r="S35" s="44">
        <f>[1]!DDIFF(0,0)</f>
        <v>0</v>
      </c>
      <c r="T35" s="2"/>
      <c r="U35" s="1"/>
      <c r="V35" s="62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</row>
    <row r="36" spans="1:67" x14ac:dyDescent="0.25">
      <c r="A36" t="s">
        <v>130</v>
      </c>
      <c r="E36" s="42" t="s">
        <v>131</v>
      </c>
      <c r="F36" s="43" t="s">
        <v>132</v>
      </c>
      <c r="G36" s="14">
        <v>426736</v>
      </c>
      <c r="H36" s="2"/>
      <c r="I36" s="19"/>
      <c r="J36" s="14">
        <v>0</v>
      </c>
      <c r="K36" s="2"/>
      <c r="L36" s="19"/>
      <c r="M36" s="14">
        <v>0</v>
      </c>
      <c r="N36" s="2"/>
      <c r="O36" s="14">
        <v>426736</v>
      </c>
      <c r="P36" s="55" t="s">
        <v>2863</v>
      </c>
      <c r="Q36" s="14">
        <v>1431835</v>
      </c>
      <c r="R36" s="2"/>
      <c r="S36" s="44">
        <f>[1]!DDIFF(1431835,426736)</f>
        <v>-1005099</v>
      </c>
      <c r="T36" s="2"/>
      <c r="U36" s="1"/>
      <c r="V36" s="62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</row>
    <row r="37" spans="1:67" hidden="1" x14ac:dyDescent="0.25">
      <c r="A37" t="s">
        <v>133</v>
      </c>
      <c r="E37" s="42" t="s">
        <v>134</v>
      </c>
      <c r="F37" s="43" t="s">
        <v>135</v>
      </c>
      <c r="G37" s="14">
        <v>0</v>
      </c>
      <c r="H37" s="2"/>
      <c r="I37" s="19"/>
      <c r="J37" s="14">
        <v>0</v>
      </c>
      <c r="K37" s="2"/>
      <c r="L37" s="19"/>
      <c r="M37" s="14">
        <v>0</v>
      </c>
      <c r="N37" s="2"/>
      <c r="O37" s="14">
        <v>0</v>
      </c>
      <c r="P37" s="2"/>
      <c r="Q37" s="14">
        <v>0</v>
      </c>
      <c r="R37" s="2"/>
      <c r="S37" s="44">
        <f>[1]!DDIFF(0,0)</f>
        <v>0</v>
      </c>
      <c r="T37" s="2"/>
      <c r="U37" s="1"/>
      <c r="V37" s="62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</row>
    <row r="38" spans="1:67" hidden="1" x14ac:dyDescent="0.25">
      <c r="A38" t="s">
        <v>136</v>
      </c>
      <c r="E38" s="42" t="s">
        <v>137</v>
      </c>
      <c r="F38" s="43" t="s">
        <v>138</v>
      </c>
      <c r="G38" s="14">
        <v>0</v>
      </c>
      <c r="H38" s="2"/>
      <c r="I38" s="19"/>
      <c r="J38" s="14">
        <v>0</v>
      </c>
      <c r="K38" s="2"/>
      <c r="L38" s="19"/>
      <c r="M38" s="14">
        <v>0</v>
      </c>
      <c r="N38" s="2"/>
      <c r="O38" s="14">
        <v>0</v>
      </c>
      <c r="P38" s="2"/>
      <c r="Q38" s="14">
        <v>0</v>
      </c>
      <c r="R38" s="2"/>
      <c r="S38" s="44">
        <f>[1]!DDIFF(0,0)</f>
        <v>0</v>
      </c>
      <c r="T38" s="2"/>
      <c r="U38" s="1"/>
      <c r="V38" s="62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</row>
    <row r="39" spans="1:67" hidden="1" x14ac:dyDescent="0.25">
      <c r="A39" t="s">
        <v>139</v>
      </c>
      <c r="E39" s="42" t="s">
        <v>140</v>
      </c>
      <c r="F39" s="43" t="s">
        <v>141</v>
      </c>
      <c r="G39" s="14">
        <v>0</v>
      </c>
      <c r="H39" s="2"/>
      <c r="I39" s="19"/>
      <c r="J39" s="14">
        <v>0</v>
      </c>
      <c r="K39" s="2"/>
      <c r="L39" s="19"/>
      <c r="M39" s="14">
        <v>0</v>
      </c>
      <c r="N39" s="2"/>
      <c r="O39" s="14">
        <v>0</v>
      </c>
      <c r="P39" s="2"/>
      <c r="Q39" s="14">
        <v>0</v>
      </c>
      <c r="R39" s="2"/>
      <c r="S39" s="44">
        <f>[1]!DDIFF(0,0)</f>
        <v>0</v>
      </c>
      <c r="T39" s="2"/>
      <c r="U39" s="1"/>
      <c r="V39" s="62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</row>
    <row r="40" spans="1:67" hidden="1" x14ac:dyDescent="0.25">
      <c r="A40" t="s">
        <v>142</v>
      </c>
      <c r="E40" s="42" t="s">
        <v>143</v>
      </c>
      <c r="F40" s="43" t="s">
        <v>144</v>
      </c>
      <c r="G40" s="14">
        <v>0</v>
      </c>
      <c r="H40" s="2"/>
      <c r="I40" s="19"/>
      <c r="J40" s="14">
        <v>0</v>
      </c>
      <c r="K40" s="2"/>
      <c r="L40" s="19"/>
      <c r="M40" s="14">
        <v>0</v>
      </c>
      <c r="N40" s="2"/>
      <c r="O40" s="14">
        <v>0</v>
      </c>
      <c r="P40" s="2"/>
      <c r="Q40" s="14">
        <v>0</v>
      </c>
      <c r="R40" s="2"/>
      <c r="S40" s="44">
        <f>[1]!DDIFF(0,0)</f>
        <v>0</v>
      </c>
      <c r="T40" s="2"/>
      <c r="U40" s="1"/>
      <c r="V40" s="62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</row>
    <row r="41" spans="1:67" collapsed="1" x14ac:dyDescent="0.25">
      <c r="A41" t="s">
        <v>2686</v>
      </c>
      <c r="E41" s="42" t="s">
        <v>2687</v>
      </c>
      <c r="F41" s="43" t="s">
        <v>2692</v>
      </c>
      <c r="G41" s="14">
        <v>2013952</v>
      </c>
      <c r="H41" s="2"/>
      <c r="I41" s="19"/>
      <c r="J41" s="14">
        <v>0</v>
      </c>
      <c r="K41" s="2"/>
      <c r="L41" s="19"/>
      <c r="M41" s="14">
        <v>0</v>
      </c>
      <c r="N41" s="2"/>
      <c r="O41" s="14">
        <v>2013952</v>
      </c>
      <c r="P41" s="55" t="s">
        <v>2863</v>
      </c>
      <c r="Q41" s="14">
        <v>137</v>
      </c>
      <c r="R41" s="2"/>
      <c r="S41" s="44">
        <f>[1]!DDIFF(137,2013952)</f>
        <v>2013815</v>
      </c>
      <c r="T41" s="2"/>
      <c r="U41" s="1"/>
      <c r="V41" s="62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</row>
    <row r="42" spans="1:67" x14ac:dyDescent="0.25">
      <c r="A42" t="s">
        <v>145</v>
      </c>
      <c r="E42" s="42" t="s">
        <v>146</v>
      </c>
      <c r="F42" s="43" t="s">
        <v>147</v>
      </c>
      <c r="G42" s="14">
        <v>500</v>
      </c>
      <c r="H42" s="2"/>
      <c r="I42" s="19"/>
      <c r="J42" s="14">
        <v>0</v>
      </c>
      <c r="K42" s="2"/>
      <c r="L42" s="19"/>
      <c r="M42" s="14">
        <v>0</v>
      </c>
      <c r="N42" s="2"/>
      <c r="O42" s="14">
        <v>500</v>
      </c>
      <c r="P42" s="55" t="s">
        <v>2863</v>
      </c>
      <c r="Q42" s="14">
        <v>500</v>
      </c>
      <c r="R42" s="2"/>
      <c r="S42" s="44">
        <f>[1]!DDIFF(500,500)</f>
        <v>0</v>
      </c>
      <c r="T42" s="2"/>
      <c r="U42" s="1"/>
      <c r="V42" s="62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</row>
    <row r="43" spans="1:67" hidden="1" x14ac:dyDescent="0.25">
      <c r="A43" t="s">
        <v>148</v>
      </c>
      <c r="E43" s="42" t="s">
        <v>149</v>
      </c>
      <c r="F43" s="43" t="s">
        <v>150</v>
      </c>
      <c r="G43" s="14">
        <v>0</v>
      </c>
      <c r="H43" s="2"/>
      <c r="I43" s="19"/>
      <c r="J43" s="14">
        <v>0</v>
      </c>
      <c r="K43" s="2"/>
      <c r="L43" s="19"/>
      <c r="M43" s="14">
        <v>0</v>
      </c>
      <c r="N43" s="2"/>
      <c r="O43" s="14">
        <v>0</v>
      </c>
      <c r="P43" s="2"/>
      <c r="Q43" s="14">
        <v>0</v>
      </c>
      <c r="R43" s="2"/>
      <c r="S43" s="44">
        <f>[1]!DDIFF(0,0)</f>
        <v>0</v>
      </c>
      <c r="T43" s="2"/>
      <c r="U43" s="1"/>
      <c r="V43" s="62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</row>
    <row r="44" spans="1:67" x14ac:dyDescent="0.25">
      <c r="A44" t="s">
        <v>151</v>
      </c>
      <c r="E44" s="42" t="s">
        <v>152</v>
      </c>
      <c r="F44" s="43" t="s">
        <v>96</v>
      </c>
      <c r="G44" s="14">
        <v>11389</v>
      </c>
      <c r="H44" s="2"/>
      <c r="I44" s="19"/>
      <c r="J44" s="14">
        <v>0</v>
      </c>
      <c r="K44" s="2"/>
      <c r="L44" s="19"/>
      <c r="M44" s="14">
        <v>0</v>
      </c>
      <c r="N44" s="2"/>
      <c r="O44" s="14">
        <v>11389</v>
      </c>
      <c r="P44" s="55" t="s">
        <v>2863</v>
      </c>
      <c r="Q44" s="14">
        <v>0</v>
      </c>
      <c r="R44" s="2"/>
      <c r="S44" s="44">
        <f>[1]!DDIFF(0,11389)</f>
        <v>11389</v>
      </c>
      <c r="T44" s="2"/>
      <c r="U44" s="1"/>
      <c r="V44" s="62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</row>
    <row r="45" spans="1:67" x14ac:dyDescent="0.25">
      <c r="A45" t="s">
        <v>153</v>
      </c>
      <c r="E45" s="42" t="s">
        <v>154</v>
      </c>
      <c r="F45" s="43" t="s">
        <v>155</v>
      </c>
      <c r="G45" s="14">
        <v>-61830</v>
      </c>
      <c r="H45" s="2"/>
      <c r="I45" s="19"/>
      <c r="J45" s="14">
        <v>0</v>
      </c>
      <c r="K45" s="2"/>
      <c r="L45" s="19"/>
      <c r="M45" s="14">
        <v>0</v>
      </c>
      <c r="N45" s="2"/>
      <c r="O45" s="14">
        <v>-61830</v>
      </c>
      <c r="P45" s="55" t="s">
        <v>2863</v>
      </c>
      <c r="Q45" s="14">
        <v>-24909</v>
      </c>
      <c r="R45" s="2"/>
      <c r="S45" s="44">
        <f>[1]!DDIFF(-24909,-61830)</f>
        <v>-36921</v>
      </c>
      <c r="T45" s="2"/>
      <c r="U45" s="1"/>
      <c r="V45" s="62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</row>
    <row r="46" spans="1:67" hidden="1" x14ac:dyDescent="0.25">
      <c r="A46" t="s">
        <v>156</v>
      </c>
      <c r="E46" s="42" t="s">
        <v>157</v>
      </c>
      <c r="F46" s="43" t="s">
        <v>158</v>
      </c>
      <c r="G46" s="14">
        <v>0</v>
      </c>
      <c r="H46" s="2"/>
      <c r="I46" s="19"/>
      <c r="J46" s="14">
        <v>0</v>
      </c>
      <c r="K46" s="2"/>
      <c r="L46" s="19"/>
      <c r="M46" s="14">
        <v>0</v>
      </c>
      <c r="N46" s="2"/>
      <c r="O46" s="14">
        <v>0</v>
      </c>
      <c r="P46" s="2"/>
      <c r="Q46" s="14">
        <v>0</v>
      </c>
      <c r="R46" s="2"/>
      <c r="S46" s="44">
        <f>[1]!DDIFF(0,0)</f>
        <v>0</v>
      </c>
      <c r="T46" s="2"/>
      <c r="U46" s="1"/>
      <c r="V46" s="62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</row>
    <row r="47" spans="1:67" hidden="1" x14ac:dyDescent="0.25">
      <c r="A47" t="s">
        <v>159</v>
      </c>
      <c r="E47" s="42" t="s">
        <v>160</v>
      </c>
      <c r="F47" s="43" t="s">
        <v>161</v>
      </c>
      <c r="G47" s="14">
        <v>0</v>
      </c>
      <c r="H47" s="2"/>
      <c r="I47" s="19"/>
      <c r="J47" s="14">
        <v>0</v>
      </c>
      <c r="K47" s="2"/>
      <c r="L47" s="19"/>
      <c r="M47" s="14">
        <v>0</v>
      </c>
      <c r="N47" s="2"/>
      <c r="O47" s="14">
        <v>0</v>
      </c>
      <c r="P47" s="2"/>
      <c r="Q47" s="14">
        <v>0</v>
      </c>
      <c r="R47" s="2"/>
      <c r="S47" s="44">
        <f>[1]!DDIFF(0,0)</f>
        <v>0</v>
      </c>
      <c r="T47" s="2"/>
      <c r="U47" s="1"/>
      <c r="V47" s="62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</row>
    <row r="48" spans="1:67" hidden="1" x14ac:dyDescent="0.25">
      <c r="A48" t="s">
        <v>162</v>
      </c>
      <c r="E48" s="42" t="s">
        <v>163</v>
      </c>
      <c r="F48" s="43" t="s">
        <v>164</v>
      </c>
      <c r="G48" s="14">
        <v>0</v>
      </c>
      <c r="H48" s="2"/>
      <c r="I48" s="19"/>
      <c r="J48" s="14">
        <v>0</v>
      </c>
      <c r="K48" s="2"/>
      <c r="L48" s="19"/>
      <c r="M48" s="14">
        <v>0</v>
      </c>
      <c r="N48" s="2"/>
      <c r="O48" s="14">
        <v>0</v>
      </c>
      <c r="P48" s="2"/>
      <c r="Q48" s="14">
        <v>0</v>
      </c>
      <c r="R48" s="2"/>
      <c r="S48" s="44">
        <f>[1]!DDIFF(0,0)</f>
        <v>0</v>
      </c>
      <c r="T48" s="2"/>
      <c r="U48" s="1"/>
      <c r="V48" s="62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</row>
    <row r="49" spans="1:67" hidden="1" x14ac:dyDescent="0.25">
      <c r="A49" t="s">
        <v>165</v>
      </c>
      <c r="E49" s="42" t="s">
        <v>166</v>
      </c>
      <c r="F49" s="43" t="s">
        <v>167</v>
      </c>
      <c r="G49" s="14">
        <v>0</v>
      </c>
      <c r="H49" s="2"/>
      <c r="I49" s="19"/>
      <c r="J49" s="14">
        <v>0</v>
      </c>
      <c r="K49" s="2"/>
      <c r="L49" s="19"/>
      <c r="M49" s="14">
        <v>0</v>
      </c>
      <c r="N49" s="2"/>
      <c r="O49" s="14">
        <v>0</v>
      </c>
      <c r="P49" s="2"/>
      <c r="Q49" s="14">
        <v>0</v>
      </c>
      <c r="R49" s="2"/>
      <c r="S49" s="44">
        <f>[1]!DDIFF(0,0)</f>
        <v>0</v>
      </c>
      <c r="T49" s="2"/>
      <c r="U49" s="1"/>
      <c r="V49" s="62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</row>
    <row r="50" spans="1:67" hidden="1" x14ac:dyDescent="0.25">
      <c r="A50" t="s">
        <v>168</v>
      </c>
      <c r="E50" s="42" t="s">
        <v>169</v>
      </c>
      <c r="F50" s="43" t="s">
        <v>111</v>
      </c>
      <c r="G50" s="14">
        <v>0</v>
      </c>
      <c r="H50" s="2"/>
      <c r="I50" s="19"/>
      <c r="J50" s="14">
        <v>0</v>
      </c>
      <c r="K50" s="2"/>
      <c r="L50" s="19"/>
      <c r="M50" s="14">
        <v>0</v>
      </c>
      <c r="N50" s="2"/>
      <c r="O50" s="14">
        <v>0</v>
      </c>
      <c r="P50" s="2"/>
      <c r="Q50" s="14">
        <v>0</v>
      </c>
      <c r="R50" s="2"/>
      <c r="S50" s="44">
        <f>[1]!DDIFF(0,0)</f>
        <v>0</v>
      </c>
      <c r="T50" s="2"/>
      <c r="U50" s="1"/>
      <c r="V50" s="62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</row>
    <row r="51" spans="1:67" hidden="1" x14ac:dyDescent="0.25">
      <c r="A51" t="s">
        <v>170</v>
      </c>
      <c r="E51" s="42" t="s">
        <v>171</v>
      </c>
      <c r="F51" s="43" t="s">
        <v>167</v>
      </c>
      <c r="G51" s="14">
        <v>0</v>
      </c>
      <c r="H51" s="2"/>
      <c r="I51" s="19"/>
      <c r="J51" s="14">
        <v>0</v>
      </c>
      <c r="K51" s="2"/>
      <c r="L51" s="19"/>
      <c r="M51" s="14">
        <v>0</v>
      </c>
      <c r="N51" s="2"/>
      <c r="O51" s="14">
        <v>0</v>
      </c>
      <c r="P51" s="2"/>
      <c r="Q51" s="14">
        <v>0</v>
      </c>
      <c r="R51" s="2"/>
      <c r="S51" s="44">
        <f>[1]!DDIFF(0,0)</f>
        <v>0</v>
      </c>
      <c r="T51" s="2"/>
      <c r="U51" s="1"/>
      <c r="V51" s="62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</row>
    <row r="52" spans="1:67" hidden="1" x14ac:dyDescent="0.25">
      <c r="A52" t="s">
        <v>172</v>
      </c>
      <c r="E52" s="42" t="s">
        <v>173</v>
      </c>
      <c r="F52" s="43" t="s">
        <v>167</v>
      </c>
      <c r="G52" s="14">
        <v>0</v>
      </c>
      <c r="H52" s="2"/>
      <c r="I52" s="19"/>
      <c r="J52" s="14">
        <v>0</v>
      </c>
      <c r="K52" s="2"/>
      <c r="L52" s="19"/>
      <c r="M52" s="14">
        <v>0</v>
      </c>
      <c r="N52" s="2"/>
      <c r="O52" s="14">
        <v>0</v>
      </c>
      <c r="P52" s="2"/>
      <c r="Q52" s="14">
        <v>0</v>
      </c>
      <c r="R52" s="2"/>
      <c r="S52" s="44">
        <f>[1]!DDIFF(0,0)</f>
        <v>0</v>
      </c>
      <c r="T52" s="2"/>
      <c r="U52" s="1"/>
      <c r="V52" s="62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</row>
    <row r="53" spans="1:67" x14ac:dyDescent="0.25">
      <c r="A53" t="s">
        <v>174</v>
      </c>
      <c r="E53" s="45" t="s">
        <v>175</v>
      </c>
      <c r="F53" s="46" t="s">
        <v>66</v>
      </c>
      <c r="G53" s="15">
        <v>2392874</v>
      </c>
      <c r="H53" s="3"/>
      <c r="I53" s="20"/>
      <c r="J53" s="15">
        <v>0</v>
      </c>
      <c r="K53" s="3"/>
      <c r="L53" s="20"/>
      <c r="M53" s="15">
        <v>0</v>
      </c>
      <c r="N53" s="3"/>
      <c r="O53" s="15">
        <v>2392874</v>
      </c>
      <c r="P53" s="3"/>
      <c r="Q53" s="15">
        <v>1409690</v>
      </c>
      <c r="R53" s="3"/>
      <c r="S53" s="47">
        <f>[1]!DDIFF(1409690,2392874)</f>
        <v>983184</v>
      </c>
      <c r="T53" s="3"/>
      <c r="U53" s="1"/>
      <c r="V53" s="62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</row>
    <row r="54" spans="1:67" x14ac:dyDescent="0.25">
      <c r="A54" t="s">
        <v>176</v>
      </c>
      <c r="H54" s="1"/>
      <c r="K54" s="1"/>
      <c r="N54" s="1"/>
      <c r="P54" s="1"/>
      <c r="R54" s="1"/>
      <c r="T54" s="1"/>
      <c r="U54" s="1"/>
      <c r="V54" s="62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</row>
    <row r="55" spans="1:67" hidden="1" x14ac:dyDescent="0.25">
      <c r="A55" t="s">
        <v>177</v>
      </c>
      <c r="E55" s="40" t="s">
        <v>178</v>
      </c>
      <c r="F55" s="41" t="s">
        <v>179</v>
      </c>
      <c r="H55" s="1"/>
      <c r="K55" s="1"/>
      <c r="N55" s="1"/>
      <c r="P55" s="1"/>
      <c r="R55" s="1"/>
      <c r="T55" s="1"/>
      <c r="U55" s="1"/>
      <c r="V55" s="62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</row>
    <row r="56" spans="1:67" hidden="1" x14ac:dyDescent="0.25">
      <c r="A56" t="s">
        <v>180</v>
      </c>
      <c r="E56" s="42" t="s">
        <v>181</v>
      </c>
      <c r="F56" s="43" t="s">
        <v>182</v>
      </c>
      <c r="G56" s="14">
        <v>0</v>
      </c>
      <c r="H56" s="2"/>
      <c r="I56" s="19"/>
      <c r="J56" s="14">
        <v>0</v>
      </c>
      <c r="K56" s="2"/>
      <c r="L56" s="19"/>
      <c r="M56" s="14">
        <v>0</v>
      </c>
      <c r="N56" s="2"/>
      <c r="O56" s="14">
        <v>0</v>
      </c>
      <c r="P56" s="2"/>
      <c r="Q56" s="14">
        <v>0</v>
      </c>
      <c r="R56" s="2"/>
      <c r="S56" s="44">
        <f>[1]!DDIFF(0,0)</f>
        <v>0</v>
      </c>
      <c r="T56" s="2"/>
      <c r="U56" s="1"/>
      <c r="V56" s="62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</row>
    <row r="57" spans="1:67" hidden="1" x14ac:dyDescent="0.25">
      <c r="A57" t="s">
        <v>183</v>
      </c>
      <c r="E57" s="42" t="s">
        <v>184</v>
      </c>
      <c r="F57" s="43" t="s">
        <v>185</v>
      </c>
      <c r="G57" s="14">
        <v>0</v>
      </c>
      <c r="H57" s="2"/>
      <c r="I57" s="19"/>
      <c r="J57" s="14">
        <v>0</v>
      </c>
      <c r="K57" s="2"/>
      <c r="L57" s="19"/>
      <c r="M57" s="14">
        <v>0</v>
      </c>
      <c r="N57" s="2"/>
      <c r="O57" s="14">
        <v>0</v>
      </c>
      <c r="P57" s="2"/>
      <c r="Q57" s="14">
        <v>0</v>
      </c>
      <c r="R57" s="2"/>
      <c r="S57" s="44">
        <f>[1]!DDIFF(0,0)</f>
        <v>0</v>
      </c>
      <c r="T57" s="2"/>
      <c r="U57" s="1"/>
      <c r="V57" s="62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</row>
    <row r="58" spans="1:67" hidden="1" x14ac:dyDescent="0.25">
      <c r="A58" t="s">
        <v>186</v>
      </c>
      <c r="E58" s="45" t="s">
        <v>187</v>
      </c>
      <c r="F58" s="46" t="s">
        <v>179</v>
      </c>
      <c r="G58" s="15">
        <v>0</v>
      </c>
      <c r="H58" s="3"/>
      <c r="I58" s="20"/>
      <c r="J58" s="15">
        <v>0</v>
      </c>
      <c r="K58" s="3"/>
      <c r="L58" s="20"/>
      <c r="M58" s="15">
        <v>0</v>
      </c>
      <c r="N58" s="3"/>
      <c r="O58" s="15">
        <v>0</v>
      </c>
      <c r="P58" s="3"/>
      <c r="Q58" s="15">
        <v>0</v>
      </c>
      <c r="R58" s="3"/>
      <c r="S58" s="47">
        <f>[1]!DDIFF(0,0)</f>
        <v>0</v>
      </c>
      <c r="T58" s="3"/>
      <c r="U58" s="1"/>
      <c r="V58" s="62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</row>
    <row r="59" spans="1:67" hidden="1" x14ac:dyDescent="0.25">
      <c r="A59" t="s">
        <v>188</v>
      </c>
      <c r="H59" s="1"/>
      <c r="K59" s="1"/>
      <c r="N59" s="1"/>
      <c r="P59" s="1"/>
      <c r="R59" s="1"/>
      <c r="T59" s="1"/>
      <c r="U59" s="1"/>
      <c r="V59" s="62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</row>
    <row r="60" spans="1:67" hidden="1" x14ac:dyDescent="0.25">
      <c r="A60" t="s">
        <v>189</v>
      </c>
      <c r="E60" s="40" t="s">
        <v>190</v>
      </c>
      <c r="F60" s="11"/>
      <c r="H60" s="1"/>
      <c r="K60" s="1"/>
      <c r="N60" s="1"/>
      <c r="P60" s="1"/>
      <c r="R60" s="1"/>
      <c r="T60" s="1"/>
      <c r="U60" s="1"/>
      <c r="V60" s="62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</row>
    <row r="61" spans="1:67" hidden="1" x14ac:dyDescent="0.25">
      <c r="A61" t="s">
        <v>191</v>
      </c>
      <c r="E61" s="45" t="s">
        <v>192</v>
      </c>
      <c r="F61" s="12"/>
      <c r="G61" s="15">
        <v>0</v>
      </c>
      <c r="H61" s="3"/>
      <c r="I61" s="20"/>
      <c r="J61" s="15">
        <v>0</v>
      </c>
      <c r="K61" s="3"/>
      <c r="L61" s="20"/>
      <c r="M61" s="15">
        <v>0</v>
      </c>
      <c r="N61" s="3"/>
      <c r="O61" s="15">
        <v>0</v>
      </c>
      <c r="P61" s="3"/>
      <c r="Q61" s="15">
        <v>0</v>
      </c>
      <c r="R61" s="3"/>
      <c r="S61" s="47">
        <f>[1]!DDIFF(0,0)</f>
        <v>0</v>
      </c>
      <c r="T61" s="3"/>
      <c r="U61" s="1"/>
      <c r="V61" s="62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</row>
    <row r="62" spans="1:67" x14ac:dyDescent="0.25">
      <c r="A62" t="s">
        <v>193</v>
      </c>
      <c r="E62" s="48" t="s">
        <v>194</v>
      </c>
      <c r="F62" s="49" t="s">
        <v>63</v>
      </c>
      <c r="G62" s="16">
        <v>2392874</v>
      </c>
      <c r="H62" s="4"/>
      <c r="I62" s="21"/>
      <c r="J62" s="16">
        <v>0</v>
      </c>
      <c r="K62" s="4"/>
      <c r="L62" s="21"/>
      <c r="M62" s="16">
        <v>0</v>
      </c>
      <c r="N62" s="4"/>
      <c r="O62" s="16">
        <v>2392874</v>
      </c>
      <c r="P62" s="4"/>
      <c r="Q62" s="16">
        <v>1409690</v>
      </c>
      <c r="R62" s="4"/>
      <c r="S62" s="50">
        <f>[1]!DDIFF(1409690,2392874)</f>
        <v>983184</v>
      </c>
      <c r="T62" s="4"/>
      <c r="U62" s="1"/>
      <c r="V62" s="62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</row>
    <row r="63" spans="1:67" x14ac:dyDescent="0.25">
      <c r="A63" t="s">
        <v>195</v>
      </c>
      <c r="H63" s="1"/>
      <c r="K63" s="1"/>
      <c r="N63" s="1"/>
      <c r="P63" s="1"/>
      <c r="R63" s="1"/>
      <c r="T63" s="1"/>
      <c r="U63" s="1"/>
      <c r="V63" s="62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</row>
    <row r="64" spans="1:67" x14ac:dyDescent="0.25">
      <c r="A64" t="s">
        <v>196</v>
      </c>
      <c r="E64" s="38" t="s">
        <v>197</v>
      </c>
      <c r="F64" s="39" t="s">
        <v>198</v>
      </c>
      <c r="H64" s="1"/>
      <c r="K64" s="1"/>
      <c r="N64" s="1"/>
      <c r="P64" s="1"/>
      <c r="R64" s="1"/>
      <c r="T64" s="1"/>
      <c r="U64" s="1"/>
      <c r="V64" s="62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</row>
    <row r="65" spans="1:67" x14ac:dyDescent="0.25">
      <c r="A65" t="s">
        <v>199</v>
      </c>
      <c r="E65" s="40" t="s">
        <v>200</v>
      </c>
      <c r="F65" s="41" t="s">
        <v>198</v>
      </c>
      <c r="H65" s="1"/>
      <c r="K65" s="1"/>
      <c r="N65" s="1"/>
      <c r="P65" s="1"/>
      <c r="R65" s="1"/>
      <c r="T65" s="1"/>
      <c r="U65" s="1"/>
      <c r="V65" s="62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</row>
    <row r="66" spans="1:67" x14ac:dyDescent="0.25">
      <c r="A66" t="s">
        <v>201</v>
      </c>
      <c r="E66" s="42" t="s">
        <v>202</v>
      </c>
      <c r="F66" s="43" t="s">
        <v>203</v>
      </c>
      <c r="G66" s="14">
        <v>17295</v>
      </c>
      <c r="H66" s="2"/>
      <c r="I66" s="19"/>
      <c r="J66" s="14">
        <v>0</v>
      </c>
      <c r="K66" s="2"/>
      <c r="L66" s="19"/>
      <c r="M66" s="14">
        <v>0</v>
      </c>
      <c r="N66" s="2"/>
      <c r="O66" s="14">
        <v>17295</v>
      </c>
      <c r="P66" s="55" t="s">
        <v>2863</v>
      </c>
      <c r="Q66" s="14">
        <v>7473</v>
      </c>
      <c r="R66" s="2"/>
      <c r="S66" s="44">
        <f>[1]!DDIFF(7473,17295)</f>
        <v>9822</v>
      </c>
      <c r="T66" s="2"/>
      <c r="U66" s="1"/>
      <c r="V66" s="62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</row>
    <row r="67" spans="1:67" hidden="1" x14ac:dyDescent="0.25">
      <c r="A67" t="s">
        <v>204</v>
      </c>
      <c r="E67" s="42" t="s">
        <v>205</v>
      </c>
      <c r="F67" s="43" t="s">
        <v>206</v>
      </c>
      <c r="G67" s="14">
        <v>0</v>
      </c>
      <c r="H67" s="2"/>
      <c r="I67" s="19"/>
      <c r="J67" s="14">
        <v>0</v>
      </c>
      <c r="K67" s="2"/>
      <c r="L67" s="19"/>
      <c r="M67" s="14">
        <v>0</v>
      </c>
      <c r="N67" s="2"/>
      <c r="O67" s="14">
        <v>0</v>
      </c>
      <c r="P67" s="2"/>
      <c r="Q67" s="14">
        <v>0</v>
      </c>
      <c r="R67" s="2"/>
      <c r="S67" s="44">
        <f>[1]!DDIFF(0,0)</f>
        <v>0</v>
      </c>
      <c r="T67" s="2"/>
      <c r="U67" s="1"/>
      <c r="V67" s="62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</row>
    <row r="68" spans="1:67" hidden="1" x14ac:dyDescent="0.25">
      <c r="A68" t="s">
        <v>207</v>
      </c>
      <c r="E68" s="42" t="s">
        <v>208</v>
      </c>
      <c r="F68" s="43" t="s">
        <v>209</v>
      </c>
      <c r="G68" s="14">
        <v>0</v>
      </c>
      <c r="H68" s="2"/>
      <c r="I68" s="19"/>
      <c r="J68" s="14">
        <v>0</v>
      </c>
      <c r="K68" s="2"/>
      <c r="L68" s="19"/>
      <c r="M68" s="14">
        <v>0</v>
      </c>
      <c r="N68" s="2"/>
      <c r="O68" s="14">
        <v>0</v>
      </c>
      <c r="P68" s="2"/>
      <c r="Q68" s="14">
        <v>0</v>
      </c>
      <c r="R68" s="2"/>
      <c r="S68" s="44">
        <f>[1]!DDIFF(0,0)</f>
        <v>0</v>
      </c>
      <c r="T68" s="2"/>
      <c r="U68" s="1"/>
      <c r="V68" s="62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</row>
    <row r="69" spans="1:67" collapsed="1" x14ac:dyDescent="0.25">
      <c r="A69" t="s">
        <v>210</v>
      </c>
      <c r="E69" s="42" t="s">
        <v>211</v>
      </c>
      <c r="F69" s="43" t="s">
        <v>203</v>
      </c>
      <c r="G69" s="14">
        <v>477006</v>
      </c>
      <c r="H69" s="2"/>
      <c r="I69" s="19"/>
      <c r="J69" s="14">
        <v>760</v>
      </c>
      <c r="K69" s="2"/>
      <c r="L69" s="19"/>
      <c r="M69" s="14">
        <v>5821</v>
      </c>
      <c r="N69" s="2"/>
      <c r="O69" s="14">
        <v>483587</v>
      </c>
      <c r="P69" s="55" t="s">
        <v>2864</v>
      </c>
      <c r="Q69" s="14">
        <v>425258</v>
      </c>
      <c r="R69" s="2"/>
      <c r="S69" s="44">
        <f>[1]!DDIFF(425258,483587)</f>
        <v>58329</v>
      </c>
      <c r="T69" s="2"/>
      <c r="U69" s="55" t="s">
        <v>2864</v>
      </c>
      <c r="V69" s="62">
        <f>+O69+O72+O92</f>
        <v>489553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</row>
    <row r="70" spans="1:67" hidden="1" outlineLevel="1" x14ac:dyDescent="0.25">
      <c r="A70" t="s">
        <v>2730</v>
      </c>
      <c r="E70" s="7"/>
      <c r="F70" s="10"/>
      <c r="G70" s="14"/>
      <c r="H70" s="2"/>
      <c r="I70" s="54" t="s">
        <v>2736</v>
      </c>
      <c r="J70" s="14">
        <v>760</v>
      </c>
      <c r="K70" s="2"/>
      <c r="L70" s="54" t="s">
        <v>2699</v>
      </c>
      <c r="M70" s="14">
        <v>-53213</v>
      </c>
      <c r="N70" s="2"/>
      <c r="O70" s="14"/>
      <c r="P70" s="2"/>
      <c r="Q70" s="14"/>
      <c r="R70" s="2"/>
      <c r="S70" s="14"/>
      <c r="T70" s="2"/>
      <c r="U70" s="1"/>
      <c r="V70" s="62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</row>
    <row r="71" spans="1:67" hidden="1" outlineLevel="1" x14ac:dyDescent="0.25">
      <c r="A71" t="s">
        <v>2732</v>
      </c>
      <c r="E71" s="7"/>
      <c r="F71" s="10"/>
      <c r="G71" s="14"/>
      <c r="H71" s="2"/>
      <c r="I71" s="19"/>
      <c r="J71" s="14"/>
      <c r="K71" s="2"/>
      <c r="L71" s="54" t="s">
        <v>2699</v>
      </c>
      <c r="M71" s="14">
        <v>59034</v>
      </c>
      <c r="N71" s="2"/>
      <c r="O71" s="14"/>
      <c r="P71" s="2"/>
      <c r="Q71" s="14"/>
      <c r="R71" s="2"/>
      <c r="S71" s="14"/>
      <c r="T71" s="2"/>
      <c r="U71" s="1"/>
      <c r="V71" s="62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</row>
    <row r="72" spans="1:67" x14ac:dyDescent="0.25">
      <c r="A72" t="s">
        <v>212</v>
      </c>
      <c r="E72" s="42" t="s">
        <v>213</v>
      </c>
      <c r="F72" s="43" t="s">
        <v>214</v>
      </c>
      <c r="G72" s="14">
        <v>1591</v>
      </c>
      <c r="H72" s="2"/>
      <c r="I72" s="19"/>
      <c r="J72" s="14">
        <v>0</v>
      </c>
      <c r="K72" s="2"/>
      <c r="L72" s="19"/>
      <c r="M72" s="14">
        <v>0</v>
      </c>
      <c r="N72" s="2"/>
      <c r="O72" s="14">
        <v>1591</v>
      </c>
      <c r="P72" s="55" t="s">
        <v>2864</v>
      </c>
      <c r="Q72" s="14">
        <v>1591</v>
      </c>
      <c r="R72" s="2"/>
      <c r="S72" s="44">
        <f>[1]!DDIFF(1591,1591)</f>
        <v>0</v>
      </c>
      <c r="T72" s="2"/>
      <c r="U72" s="1"/>
      <c r="V72" s="62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</row>
    <row r="73" spans="1:67" hidden="1" x14ac:dyDescent="0.25">
      <c r="A73" t="s">
        <v>215</v>
      </c>
      <c r="E73" s="42" t="s">
        <v>216</v>
      </c>
      <c r="F73" s="43" t="s">
        <v>209</v>
      </c>
      <c r="G73" s="14">
        <v>0</v>
      </c>
      <c r="H73" s="2"/>
      <c r="I73" s="19"/>
      <c r="J73" s="14">
        <v>0</v>
      </c>
      <c r="K73" s="2"/>
      <c r="L73" s="19"/>
      <c r="M73" s="14">
        <v>0</v>
      </c>
      <c r="N73" s="2"/>
      <c r="O73" s="14">
        <v>0</v>
      </c>
      <c r="P73" s="2"/>
      <c r="Q73" s="14">
        <v>0</v>
      </c>
      <c r="R73" s="2"/>
      <c r="S73" s="44">
        <f>[1]!DDIFF(0,0)</f>
        <v>0</v>
      </c>
      <c r="T73" s="2"/>
      <c r="U73" s="1"/>
      <c r="V73" s="62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</row>
    <row r="74" spans="1:67" hidden="1" x14ac:dyDescent="0.25">
      <c r="A74" t="s">
        <v>217</v>
      </c>
      <c r="E74" s="42" t="s">
        <v>218</v>
      </c>
      <c r="F74" s="43" t="s">
        <v>219</v>
      </c>
      <c r="G74" s="14">
        <v>0</v>
      </c>
      <c r="H74" s="2"/>
      <c r="I74" s="19"/>
      <c r="J74" s="14">
        <v>0</v>
      </c>
      <c r="K74" s="2"/>
      <c r="L74" s="19"/>
      <c r="M74" s="14">
        <v>0</v>
      </c>
      <c r="N74" s="2"/>
      <c r="O74" s="14">
        <v>0</v>
      </c>
      <c r="P74" s="2"/>
      <c r="Q74" s="14">
        <v>0</v>
      </c>
      <c r="R74" s="2"/>
      <c r="S74" s="44">
        <f>[1]!DDIFF(0,0)</f>
        <v>0</v>
      </c>
      <c r="T74" s="2"/>
      <c r="U74" s="1"/>
      <c r="V74" s="62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</row>
    <row r="75" spans="1:67" collapsed="1" x14ac:dyDescent="0.25">
      <c r="A75" t="s">
        <v>220</v>
      </c>
      <c r="E75" s="42" t="s">
        <v>221</v>
      </c>
      <c r="F75" s="43" t="s">
        <v>203</v>
      </c>
      <c r="G75" s="14">
        <v>29225</v>
      </c>
      <c r="H75" s="2"/>
      <c r="I75" s="19"/>
      <c r="J75" s="14">
        <v>0</v>
      </c>
      <c r="K75" s="2"/>
      <c r="L75" s="19"/>
      <c r="M75" s="14">
        <v>-29225</v>
      </c>
      <c r="N75" s="2"/>
      <c r="O75" s="14">
        <v>0</v>
      </c>
      <c r="P75" s="55" t="s">
        <v>2863</v>
      </c>
      <c r="Q75" s="14">
        <v>0</v>
      </c>
      <c r="R75" s="2"/>
      <c r="S75" s="44">
        <f>[1]!DDIFF(0,0)</f>
        <v>0</v>
      </c>
      <c r="T75" s="2"/>
      <c r="U75" s="1"/>
      <c r="V75" s="62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</row>
    <row r="76" spans="1:67" hidden="1" outlineLevel="1" x14ac:dyDescent="0.25">
      <c r="A76" t="s">
        <v>2698</v>
      </c>
      <c r="E76" s="7"/>
      <c r="F76" s="10"/>
      <c r="G76" s="14"/>
      <c r="H76" s="2"/>
      <c r="I76" s="19"/>
      <c r="J76" s="14"/>
      <c r="K76" s="2"/>
      <c r="L76" s="54" t="s">
        <v>2699</v>
      </c>
      <c r="M76" s="14">
        <v>-41513</v>
      </c>
      <c r="N76" s="2"/>
      <c r="O76" s="14"/>
      <c r="P76" s="2"/>
      <c r="Q76" s="14"/>
      <c r="R76" s="2"/>
      <c r="S76" s="14"/>
      <c r="T76" s="2"/>
      <c r="U76" s="1"/>
      <c r="V76" s="62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</row>
    <row r="77" spans="1:67" hidden="1" outlineLevel="1" x14ac:dyDescent="0.25">
      <c r="A77" t="s">
        <v>2733</v>
      </c>
      <c r="E77" s="7"/>
      <c r="F77" s="10"/>
      <c r="G77" s="14"/>
      <c r="H77" s="2"/>
      <c r="I77" s="19"/>
      <c r="J77" s="14"/>
      <c r="K77" s="2"/>
      <c r="L77" s="54" t="s">
        <v>2699</v>
      </c>
      <c r="M77" s="14">
        <v>12288</v>
      </c>
      <c r="N77" s="2"/>
      <c r="O77" s="14"/>
      <c r="P77" s="2"/>
      <c r="Q77" s="14"/>
      <c r="R77" s="2"/>
      <c r="S77" s="14"/>
      <c r="T77" s="2"/>
      <c r="U77" s="1"/>
      <c r="V77" s="62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</row>
    <row r="78" spans="1:67" hidden="1" x14ac:dyDescent="0.25">
      <c r="A78" t="s">
        <v>222</v>
      </c>
      <c r="E78" s="42" t="s">
        <v>223</v>
      </c>
      <c r="F78" s="43" t="s">
        <v>224</v>
      </c>
      <c r="G78" s="14">
        <v>0</v>
      </c>
      <c r="H78" s="2"/>
      <c r="I78" s="19"/>
      <c r="J78" s="14">
        <v>0</v>
      </c>
      <c r="K78" s="2"/>
      <c r="L78" s="19"/>
      <c r="M78" s="14">
        <v>0</v>
      </c>
      <c r="N78" s="2"/>
      <c r="O78" s="14">
        <v>0</v>
      </c>
      <c r="P78" s="2"/>
      <c r="Q78" s="14">
        <v>0</v>
      </c>
      <c r="R78" s="2"/>
      <c r="S78" s="44">
        <f>[1]!DDIFF(0,0)</f>
        <v>0</v>
      </c>
      <c r="T78" s="2"/>
      <c r="U78" s="1"/>
      <c r="V78" s="62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</row>
    <row r="79" spans="1:67" hidden="1" collapsed="1" x14ac:dyDescent="0.25">
      <c r="A79" t="s">
        <v>225</v>
      </c>
      <c r="E79" s="42" t="s">
        <v>226</v>
      </c>
      <c r="F79" s="43" t="s">
        <v>227</v>
      </c>
      <c r="G79" s="14">
        <v>0</v>
      </c>
      <c r="H79" s="2"/>
      <c r="I79" s="19"/>
      <c r="J79" s="14">
        <v>0</v>
      </c>
      <c r="K79" s="2"/>
      <c r="L79" s="19"/>
      <c r="M79" s="14">
        <v>0</v>
      </c>
      <c r="N79" s="2"/>
      <c r="O79" s="14">
        <v>0</v>
      </c>
      <c r="P79" s="2"/>
      <c r="Q79" s="14">
        <v>0</v>
      </c>
      <c r="R79" s="2"/>
      <c r="S79" s="44">
        <f>[1]!DDIFF(0,0)</f>
        <v>0</v>
      </c>
      <c r="T79" s="2"/>
      <c r="U79" s="1"/>
      <c r="V79" s="62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</row>
    <row r="80" spans="1:67" hidden="1" x14ac:dyDescent="0.25">
      <c r="A80" t="s">
        <v>228</v>
      </c>
      <c r="E80" s="42" t="s">
        <v>229</v>
      </c>
      <c r="F80" s="43" t="s">
        <v>230</v>
      </c>
      <c r="G80" s="14">
        <v>0</v>
      </c>
      <c r="H80" s="2"/>
      <c r="I80" s="19"/>
      <c r="J80" s="14">
        <v>0</v>
      </c>
      <c r="K80" s="2"/>
      <c r="L80" s="19"/>
      <c r="M80" s="14">
        <v>0</v>
      </c>
      <c r="N80" s="2"/>
      <c r="O80" s="14">
        <v>0</v>
      </c>
      <c r="P80" s="2"/>
      <c r="Q80" s="14">
        <v>0</v>
      </c>
      <c r="R80" s="2"/>
      <c r="S80" s="44">
        <f>[1]!DDIFF(0,0)</f>
        <v>0</v>
      </c>
      <c r="T80" s="2"/>
      <c r="U80" s="1"/>
      <c r="V80" s="62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</row>
    <row r="81" spans="1:67" hidden="1" x14ac:dyDescent="0.25">
      <c r="A81" t="s">
        <v>231</v>
      </c>
      <c r="E81" s="42" t="s">
        <v>232</v>
      </c>
      <c r="F81" s="43" t="s">
        <v>233</v>
      </c>
      <c r="G81" s="14">
        <v>0</v>
      </c>
      <c r="H81" s="2"/>
      <c r="I81" s="19"/>
      <c r="J81" s="14">
        <v>0</v>
      </c>
      <c r="K81" s="2"/>
      <c r="L81" s="19"/>
      <c r="M81" s="14">
        <v>0</v>
      </c>
      <c r="N81" s="2"/>
      <c r="O81" s="14">
        <v>0</v>
      </c>
      <c r="P81" s="2"/>
      <c r="Q81" s="14">
        <v>0</v>
      </c>
      <c r="R81" s="2"/>
      <c r="S81" s="44">
        <f>[1]!DDIFF(0,0)</f>
        <v>0</v>
      </c>
      <c r="T81" s="2"/>
      <c r="U81" s="1"/>
      <c r="V81" s="62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 hidden="1" x14ac:dyDescent="0.25">
      <c r="A82" t="s">
        <v>234</v>
      </c>
      <c r="E82" s="42" t="s">
        <v>235</v>
      </c>
      <c r="F82" s="43" t="s">
        <v>236</v>
      </c>
      <c r="G82" s="14">
        <v>0</v>
      </c>
      <c r="H82" s="2"/>
      <c r="I82" s="19"/>
      <c r="J82" s="14">
        <v>0</v>
      </c>
      <c r="K82" s="2"/>
      <c r="L82" s="19"/>
      <c r="M82" s="14">
        <v>0</v>
      </c>
      <c r="N82" s="2"/>
      <c r="O82" s="14">
        <v>0</v>
      </c>
      <c r="P82" s="2"/>
      <c r="Q82" s="14">
        <v>0</v>
      </c>
      <c r="R82" s="2"/>
      <c r="S82" s="44">
        <f>[1]!DDIFF(0,0)</f>
        <v>0</v>
      </c>
      <c r="T82" s="2"/>
      <c r="U82" s="1"/>
      <c r="V82" s="62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</row>
    <row r="83" spans="1:67" hidden="1" x14ac:dyDescent="0.25">
      <c r="A83" t="s">
        <v>237</v>
      </c>
      <c r="E83" s="42" t="s">
        <v>238</v>
      </c>
      <c r="F83" s="43" t="s">
        <v>239</v>
      </c>
      <c r="G83" s="14">
        <v>0</v>
      </c>
      <c r="H83" s="2"/>
      <c r="I83" s="19"/>
      <c r="J83" s="14">
        <v>0</v>
      </c>
      <c r="K83" s="2"/>
      <c r="L83" s="19"/>
      <c r="M83" s="14">
        <v>0</v>
      </c>
      <c r="N83" s="2"/>
      <c r="O83" s="14">
        <v>0</v>
      </c>
      <c r="P83" s="2"/>
      <c r="Q83" s="14">
        <v>0</v>
      </c>
      <c r="R83" s="2"/>
      <c r="S83" s="44">
        <f>[1]!DDIFF(0,0)</f>
        <v>0</v>
      </c>
      <c r="T83" s="2"/>
      <c r="U83" s="1"/>
      <c r="V83" s="62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</row>
    <row r="84" spans="1:67" hidden="1" x14ac:dyDescent="0.25">
      <c r="A84" t="s">
        <v>240</v>
      </c>
      <c r="E84" s="42" t="s">
        <v>241</v>
      </c>
      <c r="F84" s="43" t="s">
        <v>242</v>
      </c>
      <c r="G84" s="14">
        <v>0</v>
      </c>
      <c r="H84" s="2"/>
      <c r="I84" s="19"/>
      <c r="J84" s="14">
        <v>0</v>
      </c>
      <c r="K84" s="2"/>
      <c r="L84" s="19"/>
      <c r="M84" s="14">
        <v>0</v>
      </c>
      <c r="N84" s="2"/>
      <c r="O84" s="14">
        <v>0</v>
      </c>
      <c r="P84" s="2"/>
      <c r="Q84" s="14">
        <v>0</v>
      </c>
      <c r="R84" s="2"/>
      <c r="S84" s="44">
        <f>[1]!DDIFF(0,0)</f>
        <v>0</v>
      </c>
      <c r="T84" s="2"/>
      <c r="U84" s="1"/>
      <c r="V84" s="62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</row>
    <row r="85" spans="1:67" hidden="1" x14ac:dyDescent="0.25">
      <c r="A85" t="s">
        <v>243</v>
      </c>
      <c r="E85" s="42" t="s">
        <v>244</v>
      </c>
      <c r="F85" s="43" t="s">
        <v>203</v>
      </c>
      <c r="G85" s="14">
        <v>0</v>
      </c>
      <c r="H85" s="2"/>
      <c r="I85" s="19"/>
      <c r="J85" s="14">
        <v>0</v>
      </c>
      <c r="K85" s="2"/>
      <c r="L85" s="19"/>
      <c r="M85" s="14">
        <v>0</v>
      </c>
      <c r="N85" s="2"/>
      <c r="O85" s="14">
        <v>0</v>
      </c>
      <c r="P85" s="2"/>
      <c r="Q85" s="14">
        <v>0</v>
      </c>
      <c r="R85" s="2"/>
      <c r="S85" s="44">
        <f>[1]!DDIFF(0,0)</f>
        <v>0</v>
      </c>
      <c r="T85" s="2"/>
      <c r="U85" s="1"/>
      <c r="V85" s="62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</row>
    <row r="86" spans="1:67" hidden="1" x14ac:dyDescent="0.25">
      <c r="A86" t="s">
        <v>245</v>
      </c>
      <c r="E86" s="42" t="s">
        <v>246</v>
      </c>
      <c r="F86" s="43" t="s">
        <v>203</v>
      </c>
      <c r="G86" s="14">
        <v>0</v>
      </c>
      <c r="H86" s="2"/>
      <c r="I86" s="19"/>
      <c r="J86" s="14">
        <v>0</v>
      </c>
      <c r="K86" s="2"/>
      <c r="L86" s="19"/>
      <c r="M86" s="14">
        <v>0</v>
      </c>
      <c r="N86" s="2"/>
      <c r="O86" s="14">
        <v>0</v>
      </c>
      <c r="P86" s="2"/>
      <c r="Q86" s="14">
        <v>0</v>
      </c>
      <c r="R86" s="2"/>
      <c r="S86" s="44">
        <f>[1]!DDIFF(0,0)</f>
        <v>0</v>
      </c>
      <c r="T86" s="2"/>
      <c r="U86" s="1"/>
      <c r="V86" s="62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</row>
    <row r="87" spans="1:67" hidden="1" x14ac:dyDescent="0.25">
      <c r="A87" t="s">
        <v>247</v>
      </c>
      <c r="E87" s="42" t="s">
        <v>248</v>
      </c>
      <c r="F87" s="43" t="s">
        <v>203</v>
      </c>
      <c r="G87" s="14">
        <v>0</v>
      </c>
      <c r="H87" s="2"/>
      <c r="I87" s="19"/>
      <c r="J87" s="14">
        <v>0</v>
      </c>
      <c r="K87" s="2"/>
      <c r="L87" s="19"/>
      <c r="M87" s="14">
        <v>0</v>
      </c>
      <c r="N87" s="2"/>
      <c r="O87" s="14">
        <v>0</v>
      </c>
      <c r="P87" s="2"/>
      <c r="Q87" s="14">
        <v>0</v>
      </c>
      <c r="R87" s="2"/>
      <c r="S87" s="44">
        <f>[1]!DDIFF(0,0)</f>
        <v>0</v>
      </c>
      <c r="T87" s="2"/>
      <c r="U87" s="1"/>
      <c r="V87" s="62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</row>
    <row r="88" spans="1:67" x14ac:dyDescent="0.25">
      <c r="A88" t="s">
        <v>249</v>
      </c>
      <c r="E88" s="45" t="s">
        <v>250</v>
      </c>
      <c r="F88" s="46" t="s">
        <v>198</v>
      </c>
      <c r="G88" s="15">
        <v>525117</v>
      </c>
      <c r="H88" s="3"/>
      <c r="I88" s="20"/>
      <c r="J88" s="15">
        <v>760</v>
      </c>
      <c r="K88" s="3"/>
      <c r="L88" s="20"/>
      <c r="M88" s="15">
        <v>-23404</v>
      </c>
      <c r="N88" s="3"/>
      <c r="O88" s="15">
        <v>502473</v>
      </c>
      <c r="P88" s="3"/>
      <c r="Q88" s="15">
        <v>434322</v>
      </c>
      <c r="R88" s="3"/>
      <c r="S88" s="47">
        <f>[1]!DDIFF(434322,502473)</f>
        <v>68151</v>
      </c>
      <c r="T88" s="3"/>
      <c r="U88" s="1"/>
      <c r="V88" s="62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</row>
    <row r="89" spans="1:67" x14ac:dyDescent="0.25">
      <c r="A89" t="s">
        <v>251</v>
      </c>
      <c r="H89" s="1"/>
      <c r="K89" s="1"/>
      <c r="N89" s="1"/>
      <c r="P89" s="1"/>
      <c r="R89" s="1"/>
      <c r="T89" s="1"/>
      <c r="U89" s="1"/>
      <c r="V89" s="62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</row>
    <row r="90" spans="1:67" x14ac:dyDescent="0.25">
      <c r="A90" t="s">
        <v>252</v>
      </c>
      <c r="E90" s="40" t="s">
        <v>253</v>
      </c>
      <c r="F90" s="41" t="s">
        <v>254</v>
      </c>
      <c r="H90" s="1"/>
      <c r="K90" s="1"/>
      <c r="N90" s="1"/>
      <c r="P90" s="1"/>
      <c r="R90" s="1"/>
      <c r="T90" s="1"/>
      <c r="U90" s="1"/>
      <c r="V90" s="62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</row>
    <row r="91" spans="1:67" x14ac:dyDescent="0.25">
      <c r="A91" t="s">
        <v>255</v>
      </c>
      <c r="E91" s="42" t="s">
        <v>256</v>
      </c>
      <c r="F91" s="43" t="s">
        <v>257</v>
      </c>
      <c r="G91" s="14">
        <v>326</v>
      </c>
      <c r="H91" s="2"/>
      <c r="I91" s="19"/>
      <c r="J91" s="14">
        <v>0</v>
      </c>
      <c r="K91" s="2"/>
      <c r="L91" s="19"/>
      <c r="M91" s="14">
        <v>0</v>
      </c>
      <c r="N91" s="2"/>
      <c r="O91" s="14">
        <v>326</v>
      </c>
      <c r="P91" s="55" t="s">
        <v>2863</v>
      </c>
      <c r="Q91" s="14">
        <v>326</v>
      </c>
      <c r="R91" s="2"/>
      <c r="S91" s="44">
        <f>[1]!DDIFF(326,326)</f>
        <v>0</v>
      </c>
      <c r="T91" s="2"/>
      <c r="U91" s="1"/>
      <c r="V91" s="62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</row>
    <row r="92" spans="1:67" x14ac:dyDescent="0.25">
      <c r="A92" t="s">
        <v>258</v>
      </c>
      <c r="E92" s="42" t="s">
        <v>259</v>
      </c>
      <c r="F92" s="43" t="s">
        <v>257</v>
      </c>
      <c r="G92" s="14">
        <v>4375</v>
      </c>
      <c r="H92" s="2"/>
      <c r="I92" s="19"/>
      <c r="J92" s="14">
        <v>0</v>
      </c>
      <c r="K92" s="2"/>
      <c r="L92" s="19"/>
      <c r="M92" s="14">
        <v>0</v>
      </c>
      <c r="N92" s="2"/>
      <c r="O92" s="14">
        <v>4375</v>
      </c>
      <c r="P92" s="55" t="s">
        <v>2864</v>
      </c>
      <c r="Q92" s="14">
        <v>959</v>
      </c>
      <c r="R92" s="2"/>
      <c r="S92" s="44">
        <f>[1]!DDIFF(959,4375)</f>
        <v>3416</v>
      </c>
      <c r="T92" s="2"/>
      <c r="U92" s="1"/>
      <c r="V92" s="62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</row>
    <row r="93" spans="1:67" hidden="1" x14ac:dyDescent="0.25">
      <c r="A93" t="s">
        <v>260</v>
      </c>
      <c r="E93" s="42" t="s">
        <v>261</v>
      </c>
      <c r="F93" s="43" t="s">
        <v>257</v>
      </c>
      <c r="G93" s="14">
        <v>0</v>
      </c>
      <c r="H93" s="2"/>
      <c r="I93" s="19"/>
      <c r="J93" s="14">
        <v>0</v>
      </c>
      <c r="K93" s="2"/>
      <c r="L93" s="19"/>
      <c r="M93" s="14">
        <v>0</v>
      </c>
      <c r="N93" s="2"/>
      <c r="O93" s="14">
        <v>0</v>
      </c>
      <c r="P93" s="2"/>
      <c r="Q93" s="14">
        <v>0</v>
      </c>
      <c r="R93" s="2"/>
      <c r="S93" s="44">
        <f>[1]!DDIFF(0,0)</f>
        <v>0</v>
      </c>
      <c r="T93" s="2"/>
      <c r="U93" s="1"/>
      <c r="V93" s="62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x14ac:dyDescent="0.25">
      <c r="A94" t="s">
        <v>262</v>
      </c>
      <c r="E94" s="45" t="s">
        <v>263</v>
      </c>
      <c r="F94" s="46" t="s">
        <v>254</v>
      </c>
      <c r="G94" s="15">
        <v>4701</v>
      </c>
      <c r="H94" s="3"/>
      <c r="I94" s="20"/>
      <c r="J94" s="15">
        <v>0</v>
      </c>
      <c r="K94" s="3"/>
      <c r="L94" s="20"/>
      <c r="M94" s="15">
        <v>0</v>
      </c>
      <c r="N94" s="3"/>
      <c r="O94" s="15">
        <v>4701</v>
      </c>
      <c r="P94" s="3"/>
      <c r="Q94" s="15">
        <v>1285</v>
      </c>
      <c r="R94" s="3"/>
      <c r="S94" s="47">
        <f>[1]!DDIFF(1285,4701)</f>
        <v>3416</v>
      </c>
      <c r="T94" s="3"/>
      <c r="U94" s="1"/>
      <c r="V94" s="62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x14ac:dyDescent="0.25">
      <c r="A95" t="s">
        <v>264</v>
      </c>
      <c r="H95" s="1"/>
      <c r="K95" s="1"/>
      <c r="N95" s="1"/>
      <c r="P95" s="1"/>
      <c r="R95" s="1"/>
      <c r="T95" s="1"/>
      <c r="U95" s="1"/>
      <c r="V95" s="62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idden="1" x14ac:dyDescent="0.25">
      <c r="A96" t="s">
        <v>265</v>
      </c>
      <c r="E96" s="40" t="s">
        <v>266</v>
      </c>
      <c r="F96" s="41" t="s">
        <v>267</v>
      </c>
      <c r="H96" s="1"/>
      <c r="K96" s="1"/>
      <c r="N96" s="1"/>
      <c r="P96" s="1"/>
      <c r="R96" s="1"/>
      <c r="T96" s="1"/>
      <c r="U96" s="1"/>
      <c r="V96" s="62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idden="1" x14ac:dyDescent="0.25">
      <c r="A97" t="s">
        <v>268</v>
      </c>
      <c r="E97" s="42" t="s">
        <v>269</v>
      </c>
      <c r="F97" s="43" t="s">
        <v>270</v>
      </c>
      <c r="G97" s="14">
        <v>0</v>
      </c>
      <c r="H97" s="2"/>
      <c r="I97" s="19"/>
      <c r="J97" s="14">
        <v>0</v>
      </c>
      <c r="K97" s="2"/>
      <c r="L97" s="19"/>
      <c r="M97" s="14">
        <v>0</v>
      </c>
      <c r="N97" s="2"/>
      <c r="O97" s="14">
        <v>0</v>
      </c>
      <c r="P97" s="2"/>
      <c r="Q97" s="14">
        <v>0</v>
      </c>
      <c r="R97" s="2"/>
      <c r="S97" s="44">
        <f>[1]!DDIFF(0,0)</f>
        <v>0</v>
      </c>
      <c r="T97" s="2"/>
      <c r="U97" s="1"/>
      <c r="V97" s="62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idden="1" x14ac:dyDescent="0.25">
      <c r="A98" t="s">
        <v>271</v>
      </c>
      <c r="E98" s="42" t="s">
        <v>272</v>
      </c>
      <c r="F98" s="43" t="s">
        <v>270</v>
      </c>
      <c r="G98" s="14">
        <v>0</v>
      </c>
      <c r="H98" s="2"/>
      <c r="I98" s="19"/>
      <c r="J98" s="14">
        <v>0</v>
      </c>
      <c r="K98" s="2"/>
      <c r="L98" s="19"/>
      <c r="M98" s="14">
        <v>0</v>
      </c>
      <c r="N98" s="2"/>
      <c r="O98" s="14">
        <v>0</v>
      </c>
      <c r="P98" s="2"/>
      <c r="Q98" s="14">
        <v>0</v>
      </c>
      <c r="R98" s="2"/>
      <c r="S98" s="44">
        <f>[1]!DDIFF(0,0)</f>
        <v>0</v>
      </c>
      <c r="T98" s="2"/>
      <c r="U98" s="1"/>
      <c r="V98" s="62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idden="1" x14ac:dyDescent="0.25">
      <c r="A99" t="s">
        <v>273</v>
      </c>
      <c r="E99" s="45" t="s">
        <v>274</v>
      </c>
      <c r="F99" s="46" t="s">
        <v>267</v>
      </c>
      <c r="G99" s="15">
        <v>0</v>
      </c>
      <c r="H99" s="3"/>
      <c r="I99" s="20"/>
      <c r="J99" s="15">
        <v>0</v>
      </c>
      <c r="K99" s="3"/>
      <c r="L99" s="20"/>
      <c r="M99" s="15">
        <v>0</v>
      </c>
      <c r="N99" s="3"/>
      <c r="O99" s="15">
        <v>0</v>
      </c>
      <c r="P99" s="3"/>
      <c r="Q99" s="15">
        <v>0</v>
      </c>
      <c r="R99" s="3"/>
      <c r="S99" s="47">
        <f>[1]!DDIFF(0,0)</f>
        <v>0</v>
      </c>
      <c r="T99" s="3"/>
      <c r="U99" s="1"/>
      <c r="V99" s="62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idden="1" x14ac:dyDescent="0.25">
      <c r="A100" t="s">
        <v>275</v>
      </c>
      <c r="H100" s="1"/>
      <c r="K100" s="1"/>
      <c r="N100" s="1"/>
      <c r="P100" s="1"/>
      <c r="R100" s="1"/>
      <c r="T100" s="1"/>
      <c r="U100" s="1"/>
      <c r="V100" s="62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idden="1" x14ac:dyDescent="0.25">
      <c r="A101" t="s">
        <v>276</v>
      </c>
      <c r="E101" s="40" t="s">
        <v>277</v>
      </c>
      <c r="F101" s="41" t="s">
        <v>278</v>
      </c>
      <c r="H101" s="1"/>
      <c r="K101" s="1"/>
      <c r="N101" s="1"/>
      <c r="P101" s="1"/>
      <c r="R101" s="1"/>
      <c r="T101" s="1"/>
      <c r="U101" s="1"/>
      <c r="V101" s="62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idden="1" x14ac:dyDescent="0.25">
      <c r="A102" t="s">
        <v>279</v>
      </c>
      <c r="E102" s="42" t="s">
        <v>280</v>
      </c>
      <c r="F102" s="43" t="s">
        <v>281</v>
      </c>
      <c r="G102" s="14">
        <v>0</v>
      </c>
      <c r="H102" s="2"/>
      <c r="I102" s="19"/>
      <c r="J102" s="14">
        <v>0</v>
      </c>
      <c r="K102" s="2"/>
      <c r="L102" s="19"/>
      <c r="M102" s="14">
        <v>0</v>
      </c>
      <c r="N102" s="2"/>
      <c r="O102" s="14">
        <v>0</v>
      </c>
      <c r="P102" s="2"/>
      <c r="Q102" s="14">
        <v>0</v>
      </c>
      <c r="R102" s="2"/>
      <c r="S102" s="44">
        <f>[1]!DDIFF(0,0)</f>
        <v>0</v>
      </c>
      <c r="T102" s="2"/>
      <c r="U102" s="1"/>
      <c r="V102" s="62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hidden="1" x14ac:dyDescent="0.25">
      <c r="A103" t="s">
        <v>282</v>
      </c>
      <c r="E103" s="42" t="s">
        <v>283</v>
      </c>
      <c r="F103" s="43" t="s">
        <v>284</v>
      </c>
      <c r="G103" s="14">
        <v>0</v>
      </c>
      <c r="H103" s="2"/>
      <c r="I103" s="19"/>
      <c r="J103" s="14">
        <v>0</v>
      </c>
      <c r="K103" s="2"/>
      <c r="L103" s="19"/>
      <c r="M103" s="14">
        <v>0</v>
      </c>
      <c r="N103" s="2"/>
      <c r="O103" s="14">
        <v>0</v>
      </c>
      <c r="P103" s="2"/>
      <c r="Q103" s="14">
        <v>0</v>
      </c>
      <c r="R103" s="2"/>
      <c r="S103" s="44">
        <f>[1]!DDIFF(0,0)</f>
        <v>0</v>
      </c>
      <c r="T103" s="2"/>
      <c r="U103" s="1"/>
      <c r="V103" s="62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hidden="1" x14ac:dyDescent="0.25">
      <c r="A104" t="s">
        <v>285</v>
      </c>
      <c r="E104" s="42" t="s">
        <v>286</v>
      </c>
      <c r="F104" s="43" t="s">
        <v>287</v>
      </c>
      <c r="G104" s="14">
        <v>0</v>
      </c>
      <c r="H104" s="2"/>
      <c r="I104" s="19"/>
      <c r="J104" s="14">
        <v>0</v>
      </c>
      <c r="K104" s="2"/>
      <c r="L104" s="19"/>
      <c r="M104" s="14">
        <v>0</v>
      </c>
      <c r="N104" s="2"/>
      <c r="O104" s="14">
        <v>0</v>
      </c>
      <c r="P104" s="2"/>
      <c r="Q104" s="14">
        <v>0</v>
      </c>
      <c r="R104" s="2"/>
      <c r="S104" s="44">
        <f>[1]!DDIFF(0,0)</f>
        <v>0</v>
      </c>
      <c r="T104" s="2"/>
      <c r="U104" s="1"/>
      <c r="V104" s="62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hidden="1" x14ac:dyDescent="0.25">
      <c r="A105" t="s">
        <v>288</v>
      </c>
      <c r="E105" s="42" t="s">
        <v>289</v>
      </c>
      <c r="F105" s="43" t="s">
        <v>290</v>
      </c>
      <c r="G105" s="14">
        <v>0</v>
      </c>
      <c r="H105" s="2"/>
      <c r="I105" s="19"/>
      <c r="J105" s="14">
        <v>0</v>
      </c>
      <c r="K105" s="2"/>
      <c r="L105" s="19"/>
      <c r="M105" s="14">
        <v>0</v>
      </c>
      <c r="N105" s="2"/>
      <c r="O105" s="14">
        <v>0</v>
      </c>
      <c r="P105" s="2"/>
      <c r="Q105" s="14">
        <v>0</v>
      </c>
      <c r="R105" s="2"/>
      <c r="S105" s="44">
        <f>[1]!DDIFF(0,0)</f>
        <v>0</v>
      </c>
      <c r="T105" s="2"/>
      <c r="U105" s="1"/>
      <c r="V105" s="62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hidden="1" x14ac:dyDescent="0.25">
      <c r="A106" t="s">
        <v>291</v>
      </c>
      <c r="E106" s="42" t="s">
        <v>292</v>
      </c>
      <c r="F106" s="43" t="s">
        <v>293</v>
      </c>
      <c r="G106" s="14">
        <v>0</v>
      </c>
      <c r="H106" s="2"/>
      <c r="I106" s="19"/>
      <c r="J106" s="14">
        <v>0</v>
      </c>
      <c r="K106" s="2"/>
      <c r="L106" s="19"/>
      <c r="M106" s="14">
        <v>0</v>
      </c>
      <c r="N106" s="2"/>
      <c r="O106" s="14">
        <v>0</v>
      </c>
      <c r="P106" s="2"/>
      <c r="Q106" s="14">
        <v>0</v>
      </c>
      <c r="R106" s="2"/>
      <c r="S106" s="44">
        <f>[1]!DDIFF(0,0)</f>
        <v>0</v>
      </c>
      <c r="T106" s="2"/>
      <c r="U106" s="1"/>
      <c r="V106" s="62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hidden="1" x14ac:dyDescent="0.25">
      <c r="A107" t="s">
        <v>294</v>
      </c>
      <c r="E107" s="42" t="s">
        <v>295</v>
      </c>
      <c r="F107" s="43" t="s">
        <v>296</v>
      </c>
      <c r="G107" s="14">
        <v>0</v>
      </c>
      <c r="H107" s="2"/>
      <c r="I107" s="19"/>
      <c r="J107" s="14">
        <v>0</v>
      </c>
      <c r="K107" s="2"/>
      <c r="L107" s="19"/>
      <c r="M107" s="14">
        <v>0</v>
      </c>
      <c r="N107" s="2"/>
      <c r="O107" s="14">
        <v>0</v>
      </c>
      <c r="P107" s="2"/>
      <c r="Q107" s="14">
        <v>0</v>
      </c>
      <c r="R107" s="2"/>
      <c r="S107" s="44">
        <f>[1]!DDIFF(0,0)</f>
        <v>0</v>
      </c>
      <c r="T107" s="2"/>
      <c r="U107" s="1"/>
      <c r="V107" s="62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hidden="1" x14ac:dyDescent="0.25">
      <c r="A108" t="s">
        <v>297</v>
      </c>
      <c r="E108" s="42" t="s">
        <v>298</v>
      </c>
      <c r="F108" s="43" t="s">
        <v>299</v>
      </c>
      <c r="G108" s="14">
        <v>0</v>
      </c>
      <c r="H108" s="2"/>
      <c r="I108" s="19"/>
      <c r="J108" s="14">
        <v>0</v>
      </c>
      <c r="K108" s="2"/>
      <c r="L108" s="19"/>
      <c r="M108" s="14">
        <v>0</v>
      </c>
      <c r="N108" s="2"/>
      <c r="O108" s="14">
        <v>0</v>
      </c>
      <c r="P108" s="2"/>
      <c r="Q108" s="14">
        <v>0</v>
      </c>
      <c r="R108" s="2"/>
      <c r="S108" s="44">
        <f>[1]!DDIFF(0,0)</f>
        <v>0</v>
      </c>
      <c r="T108" s="2"/>
      <c r="U108" s="1"/>
      <c r="V108" s="62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hidden="1" x14ac:dyDescent="0.25">
      <c r="A109" t="s">
        <v>300</v>
      </c>
      <c r="E109" s="42" t="s">
        <v>301</v>
      </c>
      <c r="F109" s="43" t="s">
        <v>302</v>
      </c>
      <c r="G109" s="14">
        <v>0</v>
      </c>
      <c r="H109" s="2"/>
      <c r="I109" s="19"/>
      <c r="J109" s="14">
        <v>0</v>
      </c>
      <c r="K109" s="2"/>
      <c r="L109" s="19"/>
      <c r="M109" s="14">
        <v>0</v>
      </c>
      <c r="N109" s="2"/>
      <c r="O109" s="14">
        <v>0</v>
      </c>
      <c r="P109" s="2"/>
      <c r="Q109" s="14">
        <v>0</v>
      </c>
      <c r="R109" s="2"/>
      <c r="S109" s="44">
        <f>[1]!DDIFF(0,0)</f>
        <v>0</v>
      </c>
      <c r="T109" s="2"/>
      <c r="U109" s="1"/>
      <c r="V109" s="62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</row>
    <row r="110" spans="1:67" hidden="1" x14ac:dyDescent="0.25">
      <c r="A110" t="s">
        <v>303</v>
      </c>
      <c r="E110" s="42" t="s">
        <v>304</v>
      </c>
      <c r="F110" s="43" t="s">
        <v>305</v>
      </c>
      <c r="G110" s="14">
        <v>0</v>
      </c>
      <c r="H110" s="2"/>
      <c r="I110" s="19"/>
      <c r="J110" s="14">
        <v>0</v>
      </c>
      <c r="K110" s="2"/>
      <c r="L110" s="19"/>
      <c r="M110" s="14">
        <v>0</v>
      </c>
      <c r="N110" s="2"/>
      <c r="O110" s="14">
        <v>0</v>
      </c>
      <c r="P110" s="2"/>
      <c r="Q110" s="14">
        <v>0</v>
      </c>
      <c r="R110" s="2"/>
      <c r="S110" s="44">
        <f>[1]!DDIFF(0,0)</f>
        <v>0</v>
      </c>
      <c r="T110" s="2"/>
      <c r="U110" s="1"/>
      <c r="V110" s="62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</row>
    <row r="111" spans="1:67" hidden="1" x14ac:dyDescent="0.25">
      <c r="A111" t="s">
        <v>306</v>
      </c>
      <c r="E111" s="42" t="s">
        <v>307</v>
      </c>
      <c r="F111" s="43" t="s">
        <v>308</v>
      </c>
      <c r="G111" s="14">
        <v>0</v>
      </c>
      <c r="H111" s="2"/>
      <c r="I111" s="19"/>
      <c r="J111" s="14">
        <v>0</v>
      </c>
      <c r="K111" s="2"/>
      <c r="L111" s="19"/>
      <c r="M111" s="14">
        <v>0</v>
      </c>
      <c r="N111" s="2"/>
      <c r="O111" s="14">
        <v>0</v>
      </c>
      <c r="P111" s="2"/>
      <c r="Q111" s="14">
        <v>0</v>
      </c>
      <c r="R111" s="2"/>
      <c r="S111" s="44">
        <f>[1]!DDIFF(0,0)</f>
        <v>0</v>
      </c>
      <c r="T111" s="2"/>
      <c r="U111" s="1"/>
      <c r="V111" s="62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</row>
    <row r="112" spans="1:67" hidden="1" x14ac:dyDescent="0.25">
      <c r="A112" t="s">
        <v>309</v>
      </c>
      <c r="E112" s="42" t="s">
        <v>310</v>
      </c>
      <c r="F112" s="43" t="s">
        <v>311</v>
      </c>
      <c r="G112" s="14">
        <v>0</v>
      </c>
      <c r="H112" s="2"/>
      <c r="I112" s="19"/>
      <c r="J112" s="14">
        <v>0</v>
      </c>
      <c r="K112" s="2"/>
      <c r="L112" s="19"/>
      <c r="M112" s="14">
        <v>0</v>
      </c>
      <c r="N112" s="2"/>
      <c r="O112" s="14">
        <v>0</v>
      </c>
      <c r="P112" s="2"/>
      <c r="Q112" s="14">
        <v>0</v>
      </c>
      <c r="R112" s="2"/>
      <c r="S112" s="44">
        <f>[1]!DDIFF(0,0)</f>
        <v>0</v>
      </c>
      <c r="T112" s="2"/>
      <c r="U112" s="1"/>
      <c r="V112" s="62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</row>
    <row r="113" spans="1:67" hidden="1" x14ac:dyDescent="0.25">
      <c r="A113" t="s">
        <v>312</v>
      </c>
      <c r="E113" s="42" t="s">
        <v>313</v>
      </c>
      <c r="F113" s="43" t="s">
        <v>314</v>
      </c>
      <c r="G113" s="14">
        <v>0</v>
      </c>
      <c r="H113" s="2"/>
      <c r="I113" s="19"/>
      <c r="J113" s="14">
        <v>0</v>
      </c>
      <c r="K113" s="2"/>
      <c r="L113" s="19"/>
      <c r="M113" s="14">
        <v>0</v>
      </c>
      <c r="N113" s="2"/>
      <c r="O113" s="14">
        <v>0</v>
      </c>
      <c r="P113" s="2"/>
      <c r="Q113" s="14">
        <v>0</v>
      </c>
      <c r="R113" s="2"/>
      <c r="S113" s="44">
        <f>[1]!DDIFF(0,0)</f>
        <v>0</v>
      </c>
      <c r="T113" s="2"/>
      <c r="U113" s="1"/>
      <c r="V113" s="62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</row>
    <row r="114" spans="1:67" hidden="1" x14ac:dyDescent="0.25">
      <c r="A114" t="s">
        <v>315</v>
      </c>
      <c r="E114" s="42" t="s">
        <v>316</v>
      </c>
      <c r="F114" s="43" t="s">
        <v>317</v>
      </c>
      <c r="G114" s="14">
        <v>0</v>
      </c>
      <c r="H114" s="2"/>
      <c r="I114" s="19"/>
      <c r="J114" s="14">
        <v>0</v>
      </c>
      <c r="K114" s="2"/>
      <c r="L114" s="19"/>
      <c r="M114" s="14">
        <v>0</v>
      </c>
      <c r="N114" s="2"/>
      <c r="O114" s="14">
        <v>0</v>
      </c>
      <c r="P114" s="2"/>
      <c r="Q114" s="14">
        <v>0</v>
      </c>
      <c r="R114" s="2"/>
      <c r="S114" s="44">
        <f>[1]!DDIFF(0,0)</f>
        <v>0</v>
      </c>
      <c r="T114" s="2"/>
      <c r="U114" s="1"/>
      <c r="V114" s="62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</row>
    <row r="115" spans="1:67" hidden="1" x14ac:dyDescent="0.25">
      <c r="A115" t="s">
        <v>318</v>
      </c>
      <c r="E115" s="42" t="s">
        <v>319</v>
      </c>
      <c r="F115" s="43" t="s">
        <v>320</v>
      </c>
      <c r="G115" s="14">
        <v>0</v>
      </c>
      <c r="H115" s="2"/>
      <c r="I115" s="19"/>
      <c r="J115" s="14">
        <v>0</v>
      </c>
      <c r="K115" s="2"/>
      <c r="L115" s="19"/>
      <c r="M115" s="14">
        <v>0</v>
      </c>
      <c r="N115" s="2"/>
      <c r="O115" s="14">
        <v>0</v>
      </c>
      <c r="P115" s="2"/>
      <c r="Q115" s="14">
        <v>0</v>
      </c>
      <c r="R115" s="2"/>
      <c r="S115" s="44">
        <f>[1]!DDIFF(0,0)</f>
        <v>0</v>
      </c>
      <c r="T115" s="2"/>
      <c r="U115" s="1"/>
      <c r="V115" s="62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</row>
    <row r="116" spans="1:67" hidden="1" x14ac:dyDescent="0.25">
      <c r="A116" t="s">
        <v>321</v>
      </c>
      <c r="E116" s="42" t="s">
        <v>322</v>
      </c>
      <c r="F116" s="43" t="s">
        <v>323</v>
      </c>
      <c r="G116" s="14">
        <v>0</v>
      </c>
      <c r="H116" s="2"/>
      <c r="I116" s="19"/>
      <c r="J116" s="14">
        <v>0</v>
      </c>
      <c r="K116" s="2"/>
      <c r="L116" s="19"/>
      <c r="M116" s="14">
        <v>0</v>
      </c>
      <c r="N116" s="2"/>
      <c r="O116" s="14">
        <v>0</v>
      </c>
      <c r="P116" s="2"/>
      <c r="Q116" s="14">
        <v>0</v>
      </c>
      <c r="R116" s="2"/>
      <c r="S116" s="44">
        <f>[1]!DDIFF(0,0)</f>
        <v>0</v>
      </c>
      <c r="T116" s="2"/>
      <c r="U116" s="1"/>
      <c r="V116" s="62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</row>
    <row r="117" spans="1:67" hidden="1" x14ac:dyDescent="0.25">
      <c r="A117" t="s">
        <v>324</v>
      </c>
      <c r="E117" s="42" t="s">
        <v>325</v>
      </c>
      <c r="F117" s="43" t="s">
        <v>326</v>
      </c>
      <c r="G117" s="14">
        <v>0</v>
      </c>
      <c r="H117" s="2"/>
      <c r="I117" s="19"/>
      <c r="J117" s="14">
        <v>0</v>
      </c>
      <c r="K117" s="2"/>
      <c r="L117" s="19"/>
      <c r="M117" s="14">
        <v>0</v>
      </c>
      <c r="N117" s="2"/>
      <c r="O117" s="14">
        <v>0</v>
      </c>
      <c r="P117" s="2"/>
      <c r="Q117" s="14">
        <v>0</v>
      </c>
      <c r="R117" s="2"/>
      <c r="S117" s="44">
        <f>[1]!DDIFF(0,0)</f>
        <v>0</v>
      </c>
      <c r="T117" s="2"/>
      <c r="U117" s="1"/>
      <c r="V117" s="62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</row>
    <row r="118" spans="1:67" hidden="1" x14ac:dyDescent="0.25">
      <c r="A118" t="s">
        <v>327</v>
      </c>
      <c r="E118" s="42" t="s">
        <v>328</v>
      </c>
      <c r="F118" s="43" t="s">
        <v>329</v>
      </c>
      <c r="G118" s="14">
        <v>0</v>
      </c>
      <c r="H118" s="2"/>
      <c r="I118" s="19"/>
      <c r="J118" s="14">
        <v>0</v>
      </c>
      <c r="K118" s="2"/>
      <c r="L118" s="19"/>
      <c r="M118" s="14">
        <v>0</v>
      </c>
      <c r="N118" s="2"/>
      <c r="O118" s="14">
        <v>0</v>
      </c>
      <c r="P118" s="2"/>
      <c r="Q118" s="14">
        <v>0</v>
      </c>
      <c r="R118" s="2"/>
      <c r="S118" s="44">
        <f>[1]!DDIFF(0,0)</f>
        <v>0</v>
      </c>
      <c r="T118" s="2"/>
      <c r="U118" s="1"/>
      <c r="V118" s="62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</row>
    <row r="119" spans="1:67" hidden="1" x14ac:dyDescent="0.25">
      <c r="A119" t="s">
        <v>330</v>
      </c>
      <c r="E119" s="42" t="s">
        <v>331</v>
      </c>
      <c r="F119" s="43" t="s">
        <v>332</v>
      </c>
      <c r="G119" s="14">
        <v>0</v>
      </c>
      <c r="H119" s="2"/>
      <c r="I119" s="19"/>
      <c r="J119" s="14">
        <v>0</v>
      </c>
      <c r="K119" s="2"/>
      <c r="L119" s="19"/>
      <c r="M119" s="14">
        <v>0</v>
      </c>
      <c r="N119" s="2"/>
      <c r="O119" s="14">
        <v>0</v>
      </c>
      <c r="P119" s="2"/>
      <c r="Q119" s="14">
        <v>0</v>
      </c>
      <c r="R119" s="2"/>
      <c r="S119" s="44">
        <f>[1]!DDIFF(0,0)</f>
        <v>0</v>
      </c>
      <c r="T119" s="2"/>
      <c r="U119" s="1"/>
      <c r="V119" s="62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</row>
    <row r="120" spans="1:67" hidden="1" x14ac:dyDescent="0.25">
      <c r="A120" t="s">
        <v>333</v>
      </c>
      <c r="E120" s="42" t="s">
        <v>334</v>
      </c>
      <c r="F120" s="43" t="s">
        <v>335</v>
      </c>
      <c r="G120" s="14">
        <v>0</v>
      </c>
      <c r="H120" s="2"/>
      <c r="I120" s="19"/>
      <c r="J120" s="14">
        <v>0</v>
      </c>
      <c r="K120" s="2"/>
      <c r="L120" s="19"/>
      <c r="M120" s="14">
        <v>0</v>
      </c>
      <c r="N120" s="2"/>
      <c r="O120" s="14">
        <v>0</v>
      </c>
      <c r="P120" s="2"/>
      <c r="Q120" s="14">
        <v>0</v>
      </c>
      <c r="R120" s="2"/>
      <c r="S120" s="44">
        <f>[1]!DDIFF(0,0)</f>
        <v>0</v>
      </c>
      <c r="T120" s="2"/>
      <c r="U120" s="1"/>
      <c r="V120" s="62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</row>
    <row r="121" spans="1:67" hidden="1" x14ac:dyDescent="0.25">
      <c r="A121" t="s">
        <v>336</v>
      </c>
      <c r="E121" s="42" t="s">
        <v>337</v>
      </c>
      <c r="F121" s="43" t="s">
        <v>338</v>
      </c>
      <c r="G121" s="14">
        <v>0</v>
      </c>
      <c r="H121" s="2"/>
      <c r="I121" s="19"/>
      <c r="J121" s="14">
        <v>0</v>
      </c>
      <c r="K121" s="2"/>
      <c r="L121" s="19"/>
      <c r="M121" s="14">
        <v>0</v>
      </c>
      <c r="N121" s="2"/>
      <c r="O121" s="14">
        <v>0</v>
      </c>
      <c r="P121" s="2"/>
      <c r="Q121" s="14">
        <v>0</v>
      </c>
      <c r="R121" s="2"/>
      <c r="S121" s="44">
        <f>[1]!DDIFF(0,0)</f>
        <v>0</v>
      </c>
      <c r="T121" s="2"/>
      <c r="U121" s="1"/>
      <c r="V121" s="62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</row>
    <row r="122" spans="1:67" hidden="1" x14ac:dyDescent="0.25">
      <c r="A122" t="s">
        <v>339</v>
      </c>
      <c r="E122" s="42" t="s">
        <v>340</v>
      </c>
      <c r="F122" s="43" t="s">
        <v>341</v>
      </c>
      <c r="G122" s="14">
        <v>0</v>
      </c>
      <c r="H122" s="2"/>
      <c r="I122" s="19"/>
      <c r="J122" s="14">
        <v>0</v>
      </c>
      <c r="K122" s="2"/>
      <c r="L122" s="19"/>
      <c r="M122" s="14">
        <v>0</v>
      </c>
      <c r="N122" s="2"/>
      <c r="O122" s="14">
        <v>0</v>
      </c>
      <c r="P122" s="2"/>
      <c r="Q122" s="14">
        <v>0</v>
      </c>
      <c r="R122" s="2"/>
      <c r="S122" s="44">
        <f>[1]!DDIFF(0,0)</f>
        <v>0</v>
      </c>
      <c r="T122" s="2"/>
      <c r="U122" s="1"/>
      <c r="V122" s="62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</row>
    <row r="123" spans="1:67" hidden="1" x14ac:dyDescent="0.25">
      <c r="A123" t="s">
        <v>342</v>
      </c>
      <c r="E123" s="42" t="s">
        <v>343</v>
      </c>
      <c r="F123" s="43" t="s">
        <v>344</v>
      </c>
      <c r="G123" s="14">
        <v>0</v>
      </c>
      <c r="H123" s="2"/>
      <c r="I123" s="19"/>
      <c r="J123" s="14">
        <v>0</v>
      </c>
      <c r="K123" s="2"/>
      <c r="L123" s="19"/>
      <c r="M123" s="14">
        <v>0</v>
      </c>
      <c r="N123" s="2"/>
      <c r="O123" s="14">
        <v>0</v>
      </c>
      <c r="P123" s="2"/>
      <c r="Q123" s="14">
        <v>0</v>
      </c>
      <c r="R123" s="2"/>
      <c r="S123" s="44">
        <f>[1]!DDIFF(0,0)</f>
        <v>0</v>
      </c>
      <c r="T123" s="2"/>
      <c r="U123" s="1"/>
      <c r="V123" s="62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</row>
    <row r="124" spans="1:67" hidden="1" x14ac:dyDescent="0.25">
      <c r="A124" t="s">
        <v>345</v>
      </c>
      <c r="E124" s="42" t="s">
        <v>346</v>
      </c>
      <c r="F124" s="43" t="s">
        <v>347</v>
      </c>
      <c r="G124" s="14">
        <v>0</v>
      </c>
      <c r="H124" s="2"/>
      <c r="I124" s="19"/>
      <c r="J124" s="14">
        <v>0</v>
      </c>
      <c r="K124" s="2"/>
      <c r="L124" s="19"/>
      <c r="M124" s="14">
        <v>0</v>
      </c>
      <c r="N124" s="2"/>
      <c r="O124" s="14">
        <v>0</v>
      </c>
      <c r="P124" s="2"/>
      <c r="Q124" s="14">
        <v>0</v>
      </c>
      <c r="R124" s="2"/>
      <c r="S124" s="44">
        <f>[1]!DDIFF(0,0)</f>
        <v>0</v>
      </c>
      <c r="T124" s="2"/>
      <c r="U124" s="1"/>
      <c r="V124" s="62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</row>
    <row r="125" spans="1:67" hidden="1" x14ac:dyDescent="0.25">
      <c r="A125" t="s">
        <v>348</v>
      </c>
      <c r="E125" s="42" t="s">
        <v>349</v>
      </c>
      <c r="F125" s="43" t="s">
        <v>350</v>
      </c>
      <c r="G125" s="14">
        <v>0</v>
      </c>
      <c r="H125" s="2"/>
      <c r="I125" s="19"/>
      <c r="J125" s="14">
        <v>0</v>
      </c>
      <c r="K125" s="2"/>
      <c r="L125" s="19"/>
      <c r="M125" s="14">
        <v>0</v>
      </c>
      <c r="N125" s="2"/>
      <c r="O125" s="14">
        <v>0</v>
      </c>
      <c r="P125" s="2"/>
      <c r="Q125" s="14">
        <v>0</v>
      </c>
      <c r="R125" s="2"/>
      <c r="S125" s="44">
        <f>[1]!DDIFF(0,0)</f>
        <v>0</v>
      </c>
      <c r="T125" s="2"/>
      <c r="U125" s="1"/>
      <c r="V125" s="62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</row>
    <row r="126" spans="1:67" hidden="1" x14ac:dyDescent="0.25">
      <c r="A126" t="s">
        <v>351</v>
      </c>
      <c r="E126" s="42" t="s">
        <v>352</v>
      </c>
      <c r="F126" s="43" t="s">
        <v>353</v>
      </c>
      <c r="G126" s="14">
        <v>0</v>
      </c>
      <c r="H126" s="2"/>
      <c r="I126" s="19"/>
      <c r="J126" s="14">
        <v>0</v>
      </c>
      <c r="K126" s="2"/>
      <c r="L126" s="19"/>
      <c r="M126" s="14">
        <v>0</v>
      </c>
      <c r="N126" s="2"/>
      <c r="O126" s="14">
        <v>0</v>
      </c>
      <c r="P126" s="2"/>
      <c r="Q126" s="14">
        <v>0</v>
      </c>
      <c r="R126" s="2"/>
      <c r="S126" s="44">
        <f>[1]!DDIFF(0,0)</f>
        <v>0</v>
      </c>
      <c r="T126" s="2"/>
      <c r="U126" s="1"/>
      <c r="V126" s="62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</row>
    <row r="127" spans="1:67" hidden="1" x14ac:dyDescent="0.25">
      <c r="A127" t="s">
        <v>354</v>
      </c>
      <c r="E127" s="42" t="s">
        <v>355</v>
      </c>
      <c r="F127" s="43" t="s">
        <v>356</v>
      </c>
      <c r="G127" s="14">
        <v>0</v>
      </c>
      <c r="H127" s="2"/>
      <c r="I127" s="19"/>
      <c r="J127" s="14">
        <v>0</v>
      </c>
      <c r="K127" s="2"/>
      <c r="L127" s="19"/>
      <c r="M127" s="14">
        <v>0</v>
      </c>
      <c r="N127" s="2"/>
      <c r="O127" s="14">
        <v>0</v>
      </c>
      <c r="P127" s="2"/>
      <c r="Q127" s="14">
        <v>0</v>
      </c>
      <c r="R127" s="2"/>
      <c r="S127" s="44">
        <f>[1]!DDIFF(0,0)</f>
        <v>0</v>
      </c>
      <c r="T127" s="2"/>
      <c r="U127" s="1"/>
      <c r="V127" s="62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</row>
    <row r="128" spans="1:67" hidden="1" x14ac:dyDescent="0.25">
      <c r="A128" t="s">
        <v>357</v>
      </c>
      <c r="E128" s="42" t="s">
        <v>358</v>
      </c>
      <c r="F128" s="43" t="s">
        <v>359</v>
      </c>
      <c r="G128" s="14">
        <v>0</v>
      </c>
      <c r="H128" s="2"/>
      <c r="I128" s="19"/>
      <c r="J128" s="14">
        <v>0</v>
      </c>
      <c r="K128" s="2"/>
      <c r="L128" s="19"/>
      <c r="M128" s="14">
        <v>0</v>
      </c>
      <c r="N128" s="2"/>
      <c r="O128" s="14">
        <v>0</v>
      </c>
      <c r="P128" s="2"/>
      <c r="Q128" s="14">
        <v>0</v>
      </c>
      <c r="R128" s="2"/>
      <c r="S128" s="44">
        <f>[1]!DDIFF(0,0)</f>
        <v>0</v>
      </c>
      <c r="T128" s="2"/>
      <c r="U128" s="1"/>
      <c r="V128" s="62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</row>
    <row r="129" spans="1:67" hidden="1" x14ac:dyDescent="0.25">
      <c r="A129" t="s">
        <v>360</v>
      </c>
      <c r="E129" s="42" t="s">
        <v>361</v>
      </c>
      <c r="F129" s="43" t="s">
        <v>362</v>
      </c>
      <c r="G129" s="14">
        <v>0</v>
      </c>
      <c r="H129" s="2"/>
      <c r="I129" s="19"/>
      <c r="J129" s="14">
        <v>0</v>
      </c>
      <c r="K129" s="2"/>
      <c r="L129" s="19"/>
      <c r="M129" s="14">
        <v>0</v>
      </c>
      <c r="N129" s="2"/>
      <c r="O129" s="14">
        <v>0</v>
      </c>
      <c r="P129" s="2"/>
      <c r="Q129" s="14">
        <v>0</v>
      </c>
      <c r="R129" s="2"/>
      <c r="S129" s="44">
        <f>[1]!DDIFF(0,0)</f>
        <v>0</v>
      </c>
      <c r="T129" s="2"/>
      <c r="U129" s="1"/>
      <c r="V129" s="62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</row>
    <row r="130" spans="1:67" hidden="1" x14ac:dyDescent="0.25">
      <c r="A130" t="s">
        <v>363</v>
      </c>
      <c r="E130" s="42" t="s">
        <v>364</v>
      </c>
      <c r="F130" s="43" t="s">
        <v>365</v>
      </c>
      <c r="G130" s="14">
        <v>0</v>
      </c>
      <c r="H130" s="2"/>
      <c r="I130" s="19"/>
      <c r="J130" s="14">
        <v>0</v>
      </c>
      <c r="K130" s="2"/>
      <c r="L130" s="19"/>
      <c r="M130" s="14">
        <v>0</v>
      </c>
      <c r="N130" s="2"/>
      <c r="O130" s="14">
        <v>0</v>
      </c>
      <c r="P130" s="2"/>
      <c r="Q130" s="14">
        <v>0</v>
      </c>
      <c r="R130" s="2"/>
      <c r="S130" s="44">
        <f>[1]!DDIFF(0,0)</f>
        <v>0</v>
      </c>
      <c r="T130" s="2"/>
      <c r="U130" s="1"/>
      <c r="V130" s="62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</row>
    <row r="131" spans="1:67" hidden="1" x14ac:dyDescent="0.25">
      <c r="A131" t="s">
        <v>366</v>
      </c>
      <c r="E131" s="42" t="s">
        <v>367</v>
      </c>
      <c r="F131" s="43" t="s">
        <v>368</v>
      </c>
      <c r="G131" s="14">
        <v>0</v>
      </c>
      <c r="H131" s="2"/>
      <c r="I131" s="19"/>
      <c r="J131" s="14">
        <v>0</v>
      </c>
      <c r="K131" s="2"/>
      <c r="L131" s="19"/>
      <c r="M131" s="14">
        <v>0</v>
      </c>
      <c r="N131" s="2"/>
      <c r="O131" s="14">
        <v>0</v>
      </c>
      <c r="P131" s="2"/>
      <c r="Q131" s="14">
        <v>0</v>
      </c>
      <c r="R131" s="2"/>
      <c r="S131" s="44">
        <f>[1]!DDIFF(0,0)</f>
        <v>0</v>
      </c>
      <c r="T131" s="2"/>
      <c r="U131" s="1"/>
      <c r="V131" s="62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</row>
    <row r="132" spans="1:67" hidden="1" x14ac:dyDescent="0.25">
      <c r="A132" t="s">
        <v>369</v>
      </c>
      <c r="E132" s="42" t="s">
        <v>370</v>
      </c>
      <c r="F132" s="43" t="s">
        <v>371</v>
      </c>
      <c r="G132" s="14">
        <v>0</v>
      </c>
      <c r="H132" s="2"/>
      <c r="I132" s="19"/>
      <c r="J132" s="14">
        <v>0</v>
      </c>
      <c r="K132" s="2"/>
      <c r="L132" s="19"/>
      <c r="M132" s="14">
        <v>0</v>
      </c>
      <c r="N132" s="2"/>
      <c r="O132" s="14">
        <v>0</v>
      </c>
      <c r="P132" s="2"/>
      <c r="Q132" s="14">
        <v>0</v>
      </c>
      <c r="R132" s="2"/>
      <c r="S132" s="44">
        <f>[1]!DDIFF(0,0)</f>
        <v>0</v>
      </c>
      <c r="T132" s="2"/>
      <c r="U132" s="1"/>
      <c r="V132" s="62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</row>
    <row r="133" spans="1:67" hidden="1" x14ac:dyDescent="0.25">
      <c r="A133" t="s">
        <v>372</v>
      </c>
      <c r="E133" s="42" t="s">
        <v>373</v>
      </c>
      <c r="F133" s="43" t="s">
        <v>374</v>
      </c>
      <c r="G133" s="14">
        <v>0</v>
      </c>
      <c r="H133" s="2"/>
      <c r="I133" s="19"/>
      <c r="J133" s="14">
        <v>0</v>
      </c>
      <c r="K133" s="2"/>
      <c r="L133" s="19"/>
      <c r="M133" s="14">
        <v>0</v>
      </c>
      <c r="N133" s="2"/>
      <c r="O133" s="14">
        <v>0</v>
      </c>
      <c r="P133" s="2"/>
      <c r="Q133" s="14">
        <v>0</v>
      </c>
      <c r="R133" s="2"/>
      <c r="S133" s="44">
        <f>[1]!DDIFF(0,0)</f>
        <v>0</v>
      </c>
      <c r="T133" s="2"/>
      <c r="U133" s="1"/>
      <c r="V133" s="62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</row>
    <row r="134" spans="1:67" hidden="1" x14ac:dyDescent="0.25">
      <c r="A134" t="s">
        <v>375</v>
      </c>
      <c r="E134" s="42" t="s">
        <v>376</v>
      </c>
      <c r="F134" s="43" t="s">
        <v>374</v>
      </c>
      <c r="G134" s="14">
        <v>0</v>
      </c>
      <c r="H134" s="2"/>
      <c r="I134" s="19"/>
      <c r="J134" s="14">
        <v>0</v>
      </c>
      <c r="K134" s="2"/>
      <c r="L134" s="19"/>
      <c r="M134" s="14">
        <v>0</v>
      </c>
      <c r="N134" s="2"/>
      <c r="O134" s="14">
        <v>0</v>
      </c>
      <c r="P134" s="2"/>
      <c r="Q134" s="14">
        <v>0</v>
      </c>
      <c r="R134" s="2"/>
      <c r="S134" s="44">
        <f>[1]!DDIFF(0,0)</f>
        <v>0</v>
      </c>
      <c r="T134" s="2"/>
      <c r="U134" s="1"/>
      <c r="V134" s="62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</row>
    <row r="135" spans="1:67" hidden="1" x14ac:dyDescent="0.25">
      <c r="A135" t="s">
        <v>377</v>
      </c>
      <c r="E135" s="42" t="s">
        <v>378</v>
      </c>
      <c r="F135" s="43" t="s">
        <v>379</v>
      </c>
      <c r="G135" s="14">
        <v>0</v>
      </c>
      <c r="H135" s="2"/>
      <c r="I135" s="19"/>
      <c r="J135" s="14">
        <v>0</v>
      </c>
      <c r="K135" s="2"/>
      <c r="L135" s="19"/>
      <c r="M135" s="14">
        <v>0</v>
      </c>
      <c r="N135" s="2"/>
      <c r="O135" s="14">
        <v>0</v>
      </c>
      <c r="P135" s="2"/>
      <c r="Q135" s="14">
        <v>0</v>
      </c>
      <c r="R135" s="2"/>
      <c r="S135" s="44">
        <f>[1]!DDIFF(0,0)</f>
        <v>0</v>
      </c>
      <c r="T135" s="2"/>
      <c r="U135" s="1"/>
      <c r="V135" s="62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</row>
    <row r="136" spans="1:67" hidden="1" x14ac:dyDescent="0.25">
      <c r="A136" t="s">
        <v>380</v>
      </c>
      <c r="E136" s="42" t="s">
        <v>381</v>
      </c>
      <c r="F136" s="43" t="s">
        <v>382</v>
      </c>
      <c r="G136" s="14">
        <v>0</v>
      </c>
      <c r="H136" s="2"/>
      <c r="I136" s="19"/>
      <c r="J136" s="14">
        <v>0</v>
      </c>
      <c r="K136" s="2"/>
      <c r="L136" s="19"/>
      <c r="M136" s="14">
        <v>0</v>
      </c>
      <c r="N136" s="2"/>
      <c r="O136" s="14">
        <v>0</v>
      </c>
      <c r="P136" s="2"/>
      <c r="Q136" s="14">
        <v>0</v>
      </c>
      <c r="R136" s="2"/>
      <c r="S136" s="44">
        <f>[1]!DDIFF(0,0)</f>
        <v>0</v>
      </c>
      <c r="T136" s="2"/>
      <c r="U136" s="1"/>
      <c r="V136" s="62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</row>
    <row r="137" spans="1:67" hidden="1" x14ac:dyDescent="0.25">
      <c r="A137" t="s">
        <v>383</v>
      </c>
      <c r="E137" s="42" t="s">
        <v>384</v>
      </c>
      <c r="F137" s="43" t="s">
        <v>385</v>
      </c>
      <c r="G137" s="14">
        <v>0</v>
      </c>
      <c r="H137" s="2"/>
      <c r="I137" s="19"/>
      <c r="J137" s="14">
        <v>0</v>
      </c>
      <c r="K137" s="2"/>
      <c r="L137" s="19"/>
      <c r="M137" s="14">
        <v>0</v>
      </c>
      <c r="N137" s="2"/>
      <c r="O137" s="14">
        <v>0</v>
      </c>
      <c r="P137" s="2"/>
      <c r="Q137" s="14">
        <v>0</v>
      </c>
      <c r="R137" s="2"/>
      <c r="S137" s="44">
        <f>[1]!DDIFF(0,0)</f>
        <v>0</v>
      </c>
      <c r="T137" s="2"/>
      <c r="U137" s="1"/>
      <c r="V137" s="62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</row>
    <row r="138" spans="1:67" hidden="1" x14ac:dyDescent="0.25">
      <c r="A138" t="s">
        <v>386</v>
      </c>
      <c r="E138" s="42" t="s">
        <v>387</v>
      </c>
      <c r="F138" s="43" t="s">
        <v>385</v>
      </c>
      <c r="G138" s="14">
        <v>0</v>
      </c>
      <c r="H138" s="2"/>
      <c r="I138" s="19"/>
      <c r="J138" s="14">
        <v>0</v>
      </c>
      <c r="K138" s="2"/>
      <c r="L138" s="19"/>
      <c r="M138" s="14">
        <v>0</v>
      </c>
      <c r="N138" s="2"/>
      <c r="O138" s="14">
        <v>0</v>
      </c>
      <c r="P138" s="2"/>
      <c r="Q138" s="14">
        <v>0</v>
      </c>
      <c r="R138" s="2"/>
      <c r="S138" s="44">
        <f>[1]!DDIFF(0,0)</f>
        <v>0</v>
      </c>
      <c r="T138" s="2"/>
      <c r="U138" s="1"/>
      <c r="V138" s="62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</row>
    <row r="139" spans="1:67" hidden="1" x14ac:dyDescent="0.25">
      <c r="A139" t="s">
        <v>388</v>
      </c>
      <c r="E139" s="42" t="s">
        <v>389</v>
      </c>
      <c r="F139" s="43" t="s">
        <v>390</v>
      </c>
      <c r="G139" s="14">
        <v>0</v>
      </c>
      <c r="H139" s="2"/>
      <c r="I139" s="19"/>
      <c r="J139" s="14">
        <v>0</v>
      </c>
      <c r="K139" s="2"/>
      <c r="L139" s="19"/>
      <c r="M139" s="14">
        <v>0</v>
      </c>
      <c r="N139" s="2"/>
      <c r="O139" s="14">
        <v>0</v>
      </c>
      <c r="P139" s="2"/>
      <c r="Q139" s="14">
        <v>0</v>
      </c>
      <c r="R139" s="2"/>
      <c r="S139" s="44">
        <f>[1]!DDIFF(0,0)</f>
        <v>0</v>
      </c>
      <c r="T139" s="2"/>
      <c r="U139" s="1"/>
      <c r="V139" s="62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</row>
    <row r="140" spans="1:67" hidden="1" x14ac:dyDescent="0.25">
      <c r="A140" t="s">
        <v>391</v>
      </c>
      <c r="E140" s="42" t="s">
        <v>392</v>
      </c>
      <c r="F140" s="43" t="s">
        <v>393</v>
      </c>
      <c r="G140" s="14">
        <v>0</v>
      </c>
      <c r="H140" s="2"/>
      <c r="I140" s="19"/>
      <c r="J140" s="14">
        <v>0</v>
      </c>
      <c r="K140" s="2"/>
      <c r="L140" s="19"/>
      <c r="M140" s="14">
        <v>0</v>
      </c>
      <c r="N140" s="2"/>
      <c r="O140" s="14">
        <v>0</v>
      </c>
      <c r="P140" s="2"/>
      <c r="Q140" s="14">
        <v>0</v>
      </c>
      <c r="R140" s="2"/>
      <c r="S140" s="44">
        <f>[1]!DDIFF(0,0)</f>
        <v>0</v>
      </c>
      <c r="T140" s="2"/>
      <c r="U140" s="1"/>
      <c r="V140" s="62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</row>
    <row r="141" spans="1:67" hidden="1" x14ac:dyDescent="0.25">
      <c r="A141" t="s">
        <v>394</v>
      </c>
      <c r="E141" s="42" t="s">
        <v>395</v>
      </c>
      <c r="F141" s="43" t="s">
        <v>396</v>
      </c>
      <c r="G141" s="14">
        <v>0</v>
      </c>
      <c r="H141" s="2"/>
      <c r="I141" s="19"/>
      <c r="J141" s="14">
        <v>0</v>
      </c>
      <c r="K141" s="2"/>
      <c r="L141" s="19"/>
      <c r="M141" s="14">
        <v>0</v>
      </c>
      <c r="N141" s="2"/>
      <c r="O141" s="14">
        <v>0</v>
      </c>
      <c r="P141" s="2"/>
      <c r="Q141" s="14">
        <v>0</v>
      </c>
      <c r="R141" s="2"/>
      <c r="S141" s="44">
        <f>[1]!DDIFF(0,0)</f>
        <v>0</v>
      </c>
      <c r="T141" s="2"/>
      <c r="U141" s="1"/>
      <c r="V141" s="62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</row>
    <row r="142" spans="1:67" hidden="1" x14ac:dyDescent="0.25">
      <c r="A142" t="s">
        <v>397</v>
      </c>
      <c r="E142" s="42" t="s">
        <v>398</v>
      </c>
      <c r="F142" s="43" t="s">
        <v>399</v>
      </c>
      <c r="G142" s="14">
        <v>0</v>
      </c>
      <c r="H142" s="2"/>
      <c r="I142" s="19"/>
      <c r="J142" s="14">
        <v>0</v>
      </c>
      <c r="K142" s="2"/>
      <c r="L142" s="19"/>
      <c r="M142" s="14">
        <v>0</v>
      </c>
      <c r="N142" s="2"/>
      <c r="O142" s="14">
        <v>0</v>
      </c>
      <c r="P142" s="2"/>
      <c r="Q142" s="14">
        <v>0</v>
      </c>
      <c r="R142" s="2"/>
      <c r="S142" s="44">
        <f>[1]!DDIFF(0,0)</f>
        <v>0</v>
      </c>
      <c r="T142" s="2"/>
      <c r="U142" s="1"/>
      <c r="V142" s="62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</row>
    <row r="143" spans="1:67" hidden="1" x14ac:dyDescent="0.25">
      <c r="A143" t="s">
        <v>400</v>
      </c>
      <c r="E143" s="42" t="s">
        <v>401</v>
      </c>
      <c r="F143" s="43" t="s">
        <v>402</v>
      </c>
      <c r="G143" s="14">
        <v>0</v>
      </c>
      <c r="H143" s="2"/>
      <c r="I143" s="19"/>
      <c r="J143" s="14">
        <v>0</v>
      </c>
      <c r="K143" s="2"/>
      <c r="L143" s="19"/>
      <c r="M143" s="14">
        <v>0</v>
      </c>
      <c r="N143" s="2"/>
      <c r="O143" s="14">
        <v>0</v>
      </c>
      <c r="P143" s="2"/>
      <c r="Q143" s="14">
        <v>0</v>
      </c>
      <c r="R143" s="2"/>
      <c r="S143" s="44">
        <f>[1]!DDIFF(0,0)</f>
        <v>0</v>
      </c>
      <c r="T143" s="2"/>
      <c r="U143" s="1"/>
      <c r="V143" s="62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</row>
    <row r="144" spans="1:67" hidden="1" x14ac:dyDescent="0.25">
      <c r="A144" t="s">
        <v>403</v>
      </c>
      <c r="E144" s="42" t="s">
        <v>404</v>
      </c>
      <c r="F144" s="43" t="s">
        <v>405</v>
      </c>
      <c r="G144" s="14">
        <v>0</v>
      </c>
      <c r="H144" s="2"/>
      <c r="I144" s="19"/>
      <c r="J144" s="14">
        <v>0</v>
      </c>
      <c r="K144" s="2"/>
      <c r="L144" s="19"/>
      <c r="M144" s="14">
        <v>0</v>
      </c>
      <c r="N144" s="2"/>
      <c r="O144" s="14">
        <v>0</v>
      </c>
      <c r="P144" s="2"/>
      <c r="Q144" s="14">
        <v>0</v>
      </c>
      <c r="R144" s="2"/>
      <c r="S144" s="44">
        <f>[1]!DDIFF(0,0)</f>
        <v>0</v>
      </c>
      <c r="T144" s="2"/>
      <c r="U144" s="1"/>
      <c r="V144" s="62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</row>
    <row r="145" spans="1:67" hidden="1" x14ac:dyDescent="0.25">
      <c r="A145" t="s">
        <v>406</v>
      </c>
      <c r="E145" s="42" t="s">
        <v>407</v>
      </c>
      <c r="F145" s="43" t="s">
        <v>408</v>
      </c>
      <c r="G145" s="14">
        <v>0</v>
      </c>
      <c r="H145" s="2"/>
      <c r="I145" s="19"/>
      <c r="J145" s="14">
        <v>0</v>
      </c>
      <c r="K145" s="2"/>
      <c r="L145" s="19"/>
      <c r="M145" s="14">
        <v>0</v>
      </c>
      <c r="N145" s="2"/>
      <c r="O145" s="14">
        <v>0</v>
      </c>
      <c r="P145" s="2"/>
      <c r="Q145" s="14">
        <v>0</v>
      </c>
      <c r="R145" s="2"/>
      <c r="S145" s="44">
        <f>[1]!DDIFF(0,0)</f>
        <v>0</v>
      </c>
      <c r="T145" s="2"/>
      <c r="U145" s="1"/>
      <c r="V145" s="62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</row>
    <row r="146" spans="1:67" hidden="1" x14ac:dyDescent="0.25">
      <c r="A146" t="s">
        <v>409</v>
      </c>
      <c r="E146" s="42" t="s">
        <v>410</v>
      </c>
      <c r="F146" s="43" t="s">
        <v>411</v>
      </c>
      <c r="G146" s="14">
        <v>0</v>
      </c>
      <c r="H146" s="2"/>
      <c r="I146" s="19"/>
      <c r="J146" s="14">
        <v>0</v>
      </c>
      <c r="K146" s="2"/>
      <c r="L146" s="19"/>
      <c r="M146" s="14">
        <v>0</v>
      </c>
      <c r="N146" s="2"/>
      <c r="O146" s="14">
        <v>0</v>
      </c>
      <c r="P146" s="2"/>
      <c r="Q146" s="14">
        <v>0</v>
      </c>
      <c r="R146" s="2"/>
      <c r="S146" s="44">
        <f>[1]!DDIFF(0,0)</f>
        <v>0</v>
      </c>
      <c r="T146" s="2"/>
      <c r="U146" s="1"/>
      <c r="V146" s="62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</row>
    <row r="147" spans="1:67" hidden="1" x14ac:dyDescent="0.25">
      <c r="A147" t="s">
        <v>412</v>
      </c>
      <c r="E147" s="45" t="s">
        <v>413</v>
      </c>
      <c r="F147" s="46" t="s">
        <v>278</v>
      </c>
      <c r="G147" s="15">
        <v>0</v>
      </c>
      <c r="H147" s="3"/>
      <c r="I147" s="20"/>
      <c r="J147" s="15">
        <v>0</v>
      </c>
      <c r="K147" s="3"/>
      <c r="L147" s="20"/>
      <c r="M147" s="15">
        <v>0</v>
      </c>
      <c r="N147" s="3"/>
      <c r="O147" s="15">
        <v>0</v>
      </c>
      <c r="P147" s="3"/>
      <c r="Q147" s="15">
        <v>0</v>
      </c>
      <c r="R147" s="3"/>
      <c r="S147" s="47">
        <f>[1]!DDIFF(0,0)</f>
        <v>0</v>
      </c>
      <c r="T147" s="3"/>
      <c r="U147" s="1"/>
      <c r="V147" s="62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</row>
    <row r="148" spans="1:67" hidden="1" x14ac:dyDescent="0.25">
      <c r="A148" t="s">
        <v>414</v>
      </c>
      <c r="H148" s="1"/>
      <c r="K148" s="1"/>
      <c r="N148" s="1"/>
      <c r="P148" s="1"/>
      <c r="R148" s="1"/>
      <c r="T148" s="1"/>
      <c r="U148" s="1"/>
      <c r="V148" s="62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</row>
    <row r="149" spans="1:67" hidden="1" x14ac:dyDescent="0.25">
      <c r="A149" t="s">
        <v>415</v>
      </c>
      <c r="E149" s="40" t="s">
        <v>190</v>
      </c>
      <c r="F149" s="11"/>
      <c r="H149" s="1"/>
      <c r="K149" s="1"/>
      <c r="N149" s="1"/>
      <c r="P149" s="1"/>
      <c r="R149" s="1"/>
      <c r="T149" s="1"/>
      <c r="U149" s="1"/>
      <c r="V149" s="62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</row>
    <row r="150" spans="1:67" hidden="1" x14ac:dyDescent="0.25">
      <c r="A150" t="s">
        <v>416</v>
      </c>
      <c r="E150" s="45" t="s">
        <v>192</v>
      </c>
      <c r="F150" s="12"/>
      <c r="G150" s="15">
        <v>0</v>
      </c>
      <c r="H150" s="3"/>
      <c r="I150" s="20"/>
      <c r="J150" s="15">
        <v>0</v>
      </c>
      <c r="K150" s="3"/>
      <c r="L150" s="20"/>
      <c r="M150" s="15">
        <v>0</v>
      </c>
      <c r="N150" s="3"/>
      <c r="O150" s="15">
        <v>0</v>
      </c>
      <c r="P150" s="3"/>
      <c r="Q150" s="15">
        <v>0</v>
      </c>
      <c r="R150" s="3"/>
      <c r="S150" s="47">
        <f>[1]!DDIFF(0,0)</f>
        <v>0</v>
      </c>
      <c r="T150" s="3"/>
      <c r="U150" s="1"/>
      <c r="V150" s="62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</row>
    <row r="151" spans="1:67" x14ac:dyDescent="0.25">
      <c r="A151" t="s">
        <v>417</v>
      </c>
      <c r="E151" s="48" t="s">
        <v>418</v>
      </c>
      <c r="F151" s="49" t="s">
        <v>198</v>
      </c>
      <c r="G151" s="16">
        <v>529818</v>
      </c>
      <c r="H151" s="4"/>
      <c r="I151" s="21"/>
      <c r="J151" s="16">
        <v>760</v>
      </c>
      <c r="K151" s="4"/>
      <c r="L151" s="21"/>
      <c r="M151" s="16">
        <v>-23404</v>
      </c>
      <c r="N151" s="4"/>
      <c r="O151" s="16">
        <v>507174</v>
      </c>
      <c r="P151" s="4"/>
      <c r="Q151" s="16">
        <v>435607</v>
      </c>
      <c r="R151" s="4"/>
      <c r="S151" s="50">
        <f>[1]!DDIFF(435607,507174)</f>
        <v>71567</v>
      </c>
      <c r="T151" s="4"/>
      <c r="U151" s="1"/>
      <c r="V151" s="62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</row>
    <row r="152" spans="1:67" x14ac:dyDescent="0.25">
      <c r="A152" t="s">
        <v>419</v>
      </c>
      <c r="H152" s="1"/>
      <c r="K152" s="1"/>
      <c r="N152" s="1"/>
      <c r="P152" s="1"/>
      <c r="R152" s="1"/>
      <c r="T152" s="1"/>
      <c r="U152" s="1"/>
      <c r="V152" s="62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</row>
    <row r="153" spans="1:67" x14ac:dyDescent="0.25">
      <c r="A153" t="s">
        <v>420</v>
      </c>
      <c r="E153" s="38" t="s">
        <v>421</v>
      </c>
      <c r="F153" s="39" t="s">
        <v>422</v>
      </c>
      <c r="H153" s="1"/>
      <c r="K153" s="1"/>
      <c r="N153" s="1"/>
      <c r="P153" s="1"/>
      <c r="R153" s="1"/>
      <c r="T153" s="1"/>
      <c r="U153" s="1"/>
      <c r="V153" s="62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</row>
    <row r="154" spans="1:67" x14ac:dyDescent="0.25">
      <c r="A154" t="s">
        <v>423</v>
      </c>
      <c r="E154" s="40" t="s">
        <v>424</v>
      </c>
      <c r="F154" s="41" t="s">
        <v>422</v>
      </c>
      <c r="H154" s="1"/>
      <c r="K154" s="1"/>
      <c r="N154" s="1"/>
      <c r="P154" s="1"/>
      <c r="R154" s="1"/>
      <c r="T154" s="1"/>
      <c r="U154" s="1"/>
      <c r="V154" s="62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</row>
    <row r="155" spans="1:67" collapsed="1" x14ac:dyDescent="0.25">
      <c r="A155" t="s">
        <v>425</v>
      </c>
      <c r="E155" s="42" t="s">
        <v>426</v>
      </c>
      <c r="F155" s="43" t="s">
        <v>427</v>
      </c>
      <c r="G155" s="14">
        <v>469483</v>
      </c>
      <c r="H155" s="2"/>
      <c r="I155" s="19"/>
      <c r="J155" s="14">
        <v>0</v>
      </c>
      <c r="K155" s="2"/>
      <c r="L155" s="19"/>
      <c r="M155" s="14">
        <v>0</v>
      </c>
      <c r="N155" s="2"/>
      <c r="O155" s="14">
        <v>469483</v>
      </c>
      <c r="P155" s="55" t="s">
        <v>2863</v>
      </c>
      <c r="Q155" s="14">
        <v>361739</v>
      </c>
      <c r="R155" s="2"/>
      <c r="S155" s="44">
        <f>[1]!DDIFF(361739,469483)</f>
        <v>107744</v>
      </c>
      <c r="T155" s="2"/>
      <c r="U155" s="1"/>
      <c r="V155" s="62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</row>
    <row r="156" spans="1:67" hidden="1" x14ac:dyDescent="0.25">
      <c r="A156" t="s">
        <v>428</v>
      </c>
      <c r="E156" s="42" t="s">
        <v>429</v>
      </c>
      <c r="F156" s="43" t="s">
        <v>430</v>
      </c>
      <c r="G156" s="14">
        <v>0</v>
      </c>
      <c r="H156" s="2"/>
      <c r="I156" s="19"/>
      <c r="J156" s="14">
        <v>0</v>
      </c>
      <c r="K156" s="2"/>
      <c r="L156" s="19"/>
      <c r="M156" s="14">
        <v>0</v>
      </c>
      <c r="N156" s="2"/>
      <c r="O156" s="14">
        <v>0</v>
      </c>
      <c r="P156" s="2"/>
      <c r="Q156" s="14">
        <v>0</v>
      </c>
      <c r="R156" s="2"/>
      <c r="S156" s="44">
        <f>[1]!DDIFF(0,0)</f>
        <v>0</v>
      </c>
      <c r="T156" s="2"/>
      <c r="U156" s="1"/>
      <c r="V156" s="62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</row>
    <row r="157" spans="1:67" x14ac:dyDescent="0.25">
      <c r="A157" t="s">
        <v>431</v>
      </c>
      <c r="E157" s="45" t="s">
        <v>432</v>
      </c>
      <c r="F157" s="46" t="s">
        <v>422</v>
      </c>
      <c r="G157" s="15">
        <v>469483</v>
      </c>
      <c r="H157" s="3"/>
      <c r="I157" s="20"/>
      <c r="J157" s="15">
        <v>0</v>
      </c>
      <c r="K157" s="3"/>
      <c r="L157" s="20"/>
      <c r="M157" s="15">
        <v>0</v>
      </c>
      <c r="N157" s="3"/>
      <c r="O157" s="15">
        <v>469483</v>
      </c>
      <c r="P157" s="3"/>
      <c r="Q157" s="15">
        <v>361739</v>
      </c>
      <c r="R157" s="3"/>
      <c r="S157" s="47">
        <f>[1]!DDIFF(361739,469483)</f>
        <v>107744</v>
      </c>
      <c r="T157" s="3"/>
      <c r="U157" s="1"/>
      <c r="V157" s="62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</row>
    <row r="158" spans="1:67" x14ac:dyDescent="0.25">
      <c r="A158" t="s">
        <v>433</v>
      </c>
      <c r="H158" s="1"/>
      <c r="K158" s="1"/>
      <c r="N158" s="1"/>
      <c r="P158" s="1"/>
      <c r="R158" s="1"/>
      <c r="T158" s="1"/>
      <c r="U158" s="1"/>
      <c r="V158" s="62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</row>
    <row r="159" spans="1:67" hidden="1" x14ac:dyDescent="0.25">
      <c r="A159" t="s">
        <v>434</v>
      </c>
      <c r="E159" s="40" t="s">
        <v>190</v>
      </c>
      <c r="F159" s="11"/>
      <c r="H159" s="1"/>
      <c r="K159" s="1"/>
      <c r="N159" s="1"/>
      <c r="P159" s="1"/>
      <c r="R159" s="1"/>
      <c r="T159" s="1"/>
      <c r="U159" s="1"/>
      <c r="V159" s="62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</row>
    <row r="160" spans="1:67" hidden="1" x14ac:dyDescent="0.25">
      <c r="A160" t="s">
        <v>435</v>
      </c>
      <c r="E160" s="45" t="s">
        <v>192</v>
      </c>
      <c r="F160" s="12"/>
      <c r="G160" s="15">
        <v>0</v>
      </c>
      <c r="H160" s="3"/>
      <c r="I160" s="20"/>
      <c r="J160" s="15">
        <v>0</v>
      </c>
      <c r="K160" s="3"/>
      <c r="L160" s="20"/>
      <c r="M160" s="15">
        <v>0</v>
      </c>
      <c r="N160" s="3"/>
      <c r="O160" s="15">
        <v>0</v>
      </c>
      <c r="P160" s="3"/>
      <c r="Q160" s="15">
        <v>0</v>
      </c>
      <c r="R160" s="3"/>
      <c r="S160" s="47">
        <f>[1]!DDIFF(0,0)</f>
        <v>0</v>
      </c>
      <c r="T160" s="3"/>
      <c r="U160" s="1"/>
      <c r="V160" s="62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</row>
    <row r="161" spans="1:67" ht="15.75" thickBot="1" x14ac:dyDescent="0.3">
      <c r="A161" t="s">
        <v>436</v>
      </c>
      <c r="E161" s="48" t="s">
        <v>437</v>
      </c>
      <c r="F161" s="49" t="s">
        <v>422</v>
      </c>
      <c r="G161" s="16">
        <v>469483</v>
      </c>
      <c r="H161" s="4"/>
      <c r="I161" s="21"/>
      <c r="J161" s="16">
        <v>0</v>
      </c>
      <c r="K161" s="4"/>
      <c r="L161" s="21"/>
      <c r="M161" s="16">
        <v>0</v>
      </c>
      <c r="N161" s="4"/>
      <c r="O161" s="16">
        <v>469483</v>
      </c>
      <c r="P161" s="4"/>
      <c r="Q161" s="16">
        <v>361739</v>
      </c>
      <c r="R161" s="4"/>
      <c r="S161" s="50">
        <f>[1]!DDIFF(361739,469483)</f>
        <v>107744</v>
      </c>
      <c r="T161" s="4"/>
      <c r="U161" s="1"/>
      <c r="V161" s="62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</row>
    <row r="162" spans="1:67" ht="15.75" thickTop="1" x14ac:dyDescent="0.25">
      <c r="A162" t="s">
        <v>438</v>
      </c>
      <c r="H162" s="1"/>
      <c r="K162" s="1"/>
      <c r="N162" s="1"/>
      <c r="P162" s="1"/>
      <c r="R162" s="1"/>
      <c r="T162" s="1"/>
      <c r="U162" s="1"/>
      <c r="V162" s="62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</row>
    <row r="163" spans="1:67" x14ac:dyDescent="0.25">
      <c r="A163" t="s">
        <v>439</v>
      </c>
      <c r="E163" s="38" t="s">
        <v>440</v>
      </c>
      <c r="F163" s="39" t="s">
        <v>441</v>
      </c>
      <c r="H163" s="1"/>
      <c r="K163" s="1"/>
      <c r="N163" s="1"/>
      <c r="P163" s="1"/>
      <c r="R163" s="1"/>
      <c r="T163" s="1"/>
      <c r="U163" s="1"/>
      <c r="V163" s="62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</row>
    <row r="164" spans="1:67" x14ac:dyDescent="0.25">
      <c r="A164" t="s">
        <v>442</v>
      </c>
      <c r="E164" s="40" t="s">
        <v>443</v>
      </c>
      <c r="F164" s="41" t="s">
        <v>444</v>
      </c>
      <c r="H164" s="1"/>
      <c r="K164" s="1"/>
      <c r="N164" s="1"/>
      <c r="P164" s="1"/>
      <c r="R164" s="1"/>
      <c r="T164" s="1"/>
      <c r="U164" s="1"/>
      <c r="V164" s="62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</row>
    <row r="165" spans="1:67" hidden="1" x14ac:dyDescent="0.25">
      <c r="A165" t="s">
        <v>445</v>
      </c>
      <c r="E165" s="42" t="s">
        <v>446</v>
      </c>
      <c r="F165" s="43" t="s">
        <v>447</v>
      </c>
      <c r="G165" s="14">
        <v>0</v>
      </c>
      <c r="H165" s="2"/>
      <c r="I165" s="19"/>
      <c r="J165" s="14">
        <v>0</v>
      </c>
      <c r="K165" s="2"/>
      <c r="L165" s="19"/>
      <c r="M165" s="14">
        <v>0</v>
      </c>
      <c r="N165" s="2"/>
      <c r="O165" s="14">
        <v>0</v>
      </c>
      <c r="P165" s="2"/>
      <c r="Q165" s="14">
        <v>0</v>
      </c>
      <c r="R165" s="2"/>
      <c r="S165" s="44">
        <f>[1]!DDIFF(0,0)</f>
        <v>0</v>
      </c>
      <c r="T165" s="2"/>
      <c r="U165" s="1"/>
      <c r="V165" s="62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</row>
    <row r="166" spans="1:67" x14ac:dyDescent="0.25">
      <c r="A166" t="s">
        <v>448</v>
      </c>
      <c r="E166" s="42" t="s">
        <v>449</v>
      </c>
      <c r="F166" s="43" t="s">
        <v>450</v>
      </c>
      <c r="G166" s="14">
        <v>1932609</v>
      </c>
      <c r="H166" s="2"/>
      <c r="I166" s="19"/>
      <c r="J166" s="14">
        <v>0</v>
      </c>
      <c r="K166" s="2"/>
      <c r="L166" s="19"/>
      <c r="M166" s="14">
        <v>0</v>
      </c>
      <c r="N166" s="2"/>
      <c r="O166" s="14">
        <v>1932609</v>
      </c>
      <c r="P166" s="55" t="s">
        <v>2863</v>
      </c>
      <c r="Q166" s="14">
        <v>1932609</v>
      </c>
      <c r="R166" s="2"/>
      <c r="S166" s="44">
        <f>[1]!DDIFF(1932609,1932609)</f>
        <v>0</v>
      </c>
      <c r="T166" s="2"/>
      <c r="U166" s="1"/>
      <c r="V166" s="62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</row>
    <row r="167" spans="1:67" hidden="1" x14ac:dyDescent="0.25">
      <c r="A167" t="s">
        <v>451</v>
      </c>
      <c r="E167" s="42" t="s">
        <v>452</v>
      </c>
      <c r="F167" s="43" t="s">
        <v>453</v>
      </c>
      <c r="G167" s="14">
        <v>0</v>
      </c>
      <c r="H167" s="2"/>
      <c r="I167" s="19"/>
      <c r="J167" s="14">
        <v>0</v>
      </c>
      <c r="K167" s="2"/>
      <c r="L167" s="19"/>
      <c r="M167" s="14">
        <v>0</v>
      </c>
      <c r="N167" s="2"/>
      <c r="O167" s="14">
        <v>0</v>
      </c>
      <c r="P167" s="2"/>
      <c r="Q167" s="14">
        <v>0</v>
      </c>
      <c r="R167" s="2"/>
      <c r="S167" s="44">
        <f>[1]!DDIFF(0,0)</f>
        <v>0</v>
      </c>
      <c r="T167" s="2"/>
      <c r="U167" s="1"/>
      <c r="V167" s="62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</row>
    <row r="168" spans="1:67" hidden="1" x14ac:dyDescent="0.25">
      <c r="A168" t="s">
        <v>454</v>
      </c>
      <c r="E168" s="42" t="s">
        <v>455</v>
      </c>
      <c r="F168" s="43" t="s">
        <v>456</v>
      </c>
      <c r="G168" s="14">
        <v>0</v>
      </c>
      <c r="H168" s="2"/>
      <c r="I168" s="19"/>
      <c r="J168" s="14">
        <v>0</v>
      </c>
      <c r="K168" s="2"/>
      <c r="L168" s="19"/>
      <c r="M168" s="14">
        <v>0</v>
      </c>
      <c r="N168" s="2"/>
      <c r="O168" s="14">
        <v>0</v>
      </c>
      <c r="P168" s="2"/>
      <c r="Q168" s="14">
        <v>0</v>
      </c>
      <c r="R168" s="2"/>
      <c r="S168" s="44">
        <f>[1]!DDIFF(0,0)</f>
        <v>0</v>
      </c>
      <c r="T168" s="2"/>
      <c r="U168" s="1"/>
      <c r="V168" s="62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</row>
    <row r="169" spans="1:67" x14ac:dyDescent="0.25">
      <c r="A169" t="s">
        <v>457</v>
      </c>
      <c r="E169" s="45" t="s">
        <v>458</v>
      </c>
      <c r="F169" s="46" t="s">
        <v>444</v>
      </c>
      <c r="G169" s="15">
        <v>1932609</v>
      </c>
      <c r="H169" s="3"/>
      <c r="I169" s="20"/>
      <c r="J169" s="15">
        <v>0</v>
      </c>
      <c r="K169" s="3"/>
      <c r="L169" s="20"/>
      <c r="M169" s="15">
        <v>0</v>
      </c>
      <c r="N169" s="3"/>
      <c r="O169" s="15">
        <v>1932609</v>
      </c>
      <c r="P169" s="3"/>
      <c r="Q169" s="15">
        <v>1932609</v>
      </c>
      <c r="R169" s="3"/>
      <c r="S169" s="47">
        <f>[1]!DDIFF(1932609,1932609)</f>
        <v>0</v>
      </c>
      <c r="T169" s="3"/>
      <c r="U169" s="1"/>
      <c r="V169" s="62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</row>
    <row r="170" spans="1:67" x14ac:dyDescent="0.25">
      <c r="A170" t="s">
        <v>459</v>
      </c>
      <c r="H170" s="1"/>
      <c r="K170" s="1"/>
      <c r="N170" s="1"/>
      <c r="P170" s="1"/>
      <c r="R170" s="1"/>
      <c r="T170" s="1"/>
      <c r="U170" s="1"/>
      <c r="V170" s="62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</row>
    <row r="171" spans="1:67" x14ac:dyDescent="0.25">
      <c r="A171" t="s">
        <v>460</v>
      </c>
      <c r="E171" s="40" t="s">
        <v>461</v>
      </c>
      <c r="F171" s="41" t="s">
        <v>462</v>
      </c>
      <c r="H171" s="1"/>
      <c r="K171" s="1"/>
      <c r="N171" s="1"/>
      <c r="P171" s="1"/>
      <c r="R171" s="1"/>
      <c r="T171" s="1"/>
      <c r="U171" s="1"/>
      <c r="V171" s="62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</row>
    <row r="172" spans="1:67" hidden="1" x14ac:dyDescent="0.25">
      <c r="A172" t="s">
        <v>463</v>
      </c>
      <c r="E172" s="42" t="s">
        <v>464</v>
      </c>
      <c r="F172" s="43" t="s">
        <v>465</v>
      </c>
      <c r="G172" s="14">
        <v>0</v>
      </c>
      <c r="H172" s="2"/>
      <c r="I172" s="19"/>
      <c r="J172" s="14">
        <v>0</v>
      </c>
      <c r="K172" s="2"/>
      <c r="L172" s="19"/>
      <c r="M172" s="14">
        <v>0</v>
      </c>
      <c r="N172" s="2"/>
      <c r="O172" s="14">
        <v>0</v>
      </c>
      <c r="P172" s="2"/>
      <c r="Q172" s="14">
        <v>0</v>
      </c>
      <c r="R172" s="2"/>
      <c r="S172" s="44">
        <f>[1]!DDIFF(0,0)</f>
        <v>0</v>
      </c>
      <c r="T172" s="2"/>
      <c r="U172" s="1"/>
      <c r="V172" s="62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</row>
    <row r="173" spans="1:67" hidden="1" x14ac:dyDescent="0.25">
      <c r="A173" t="s">
        <v>466</v>
      </c>
      <c r="E173" s="42" t="s">
        <v>467</v>
      </c>
      <c r="F173" s="43" t="s">
        <v>468</v>
      </c>
      <c r="G173" s="14">
        <v>0</v>
      </c>
      <c r="H173" s="2"/>
      <c r="I173" s="19"/>
      <c r="J173" s="14">
        <v>0</v>
      </c>
      <c r="K173" s="2"/>
      <c r="L173" s="19"/>
      <c r="M173" s="14">
        <v>0</v>
      </c>
      <c r="N173" s="2"/>
      <c r="O173" s="14">
        <v>0</v>
      </c>
      <c r="P173" s="2"/>
      <c r="Q173" s="14">
        <v>0</v>
      </c>
      <c r="R173" s="2"/>
      <c r="S173" s="44">
        <f>[1]!DDIFF(0,0)</f>
        <v>0</v>
      </c>
      <c r="T173" s="2"/>
      <c r="U173" s="1"/>
      <c r="V173" s="62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</row>
    <row r="174" spans="1:67" hidden="1" x14ac:dyDescent="0.25">
      <c r="A174" t="s">
        <v>469</v>
      </c>
      <c r="E174" s="42" t="s">
        <v>470</v>
      </c>
      <c r="F174" s="43" t="s">
        <v>471</v>
      </c>
      <c r="G174" s="14">
        <v>0</v>
      </c>
      <c r="H174" s="2"/>
      <c r="I174" s="19"/>
      <c r="J174" s="14">
        <v>0</v>
      </c>
      <c r="K174" s="2"/>
      <c r="L174" s="19"/>
      <c r="M174" s="14">
        <v>0</v>
      </c>
      <c r="N174" s="2"/>
      <c r="O174" s="14">
        <v>0</v>
      </c>
      <c r="P174" s="2"/>
      <c r="Q174" s="14">
        <v>0</v>
      </c>
      <c r="R174" s="2"/>
      <c r="S174" s="44">
        <f>[1]!DDIFF(0,0)</f>
        <v>0</v>
      </c>
      <c r="T174" s="2"/>
      <c r="U174" s="1"/>
      <c r="V174" s="62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</row>
    <row r="175" spans="1:67" hidden="1" x14ac:dyDescent="0.25">
      <c r="A175" t="s">
        <v>472</v>
      </c>
      <c r="E175" s="42" t="s">
        <v>473</v>
      </c>
      <c r="F175" s="43" t="s">
        <v>474</v>
      </c>
      <c r="G175" s="14">
        <v>0</v>
      </c>
      <c r="H175" s="2"/>
      <c r="I175" s="19"/>
      <c r="J175" s="14">
        <v>0</v>
      </c>
      <c r="K175" s="2"/>
      <c r="L175" s="19"/>
      <c r="M175" s="14">
        <v>0</v>
      </c>
      <c r="N175" s="2"/>
      <c r="O175" s="14">
        <v>0</v>
      </c>
      <c r="P175" s="2"/>
      <c r="Q175" s="14">
        <v>0</v>
      </c>
      <c r="R175" s="2"/>
      <c r="S175" s="44">
        <f>[1]!DDIFF(0,0)</f>
        <v>0</v>
      </c>
      <c r="T175" s="2"/>
      <c r="U175" s="1"/>
      <c r="V175" s="62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</row>
    <row r="176" spans="1:67" hidden="1" x14ac:dyDescent="0.25">
      <c r="A176" t="s">
        <v>475</v>
      </c>
      <c r="E176" s="42" t="s">
        <v>476</v>
      </c>
      <c r="F176" s="43" t="s">
        <v>477</v>
      </c>
      <c r="G176" s="14">
        <v>0</v>
      </c>
      <c r="H176" s="2"/>
      <c r="I176" s="19"/>
      <c r="J176" s="14">
        <v>0</v>
      </c>
      <c r="K176" s="2"/>
      <c r="L176" s="19"/>
      <c r="M176" s="14">
        <v>0</v>
      </c>
      <c r="N176" s="2"/>
      <c r="O176" s="14">
        <v>0</v>
      </c>
      <c r="P176" s="2"/>
      <c r="Q176" s="14">
        <v>0</v>
      </c>
      <c r="R176" s="2"/>
      <c r="S176" s="44">
        <f>[1]!DDIFF(0,0)</f>
        <v>0</v>
      </c>
      <c r="T176" s="2"/>
      <c r="U176" s="1"/>
      <c r="V176" s="62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</row>
    <row r="177" spans="1:67" hidden="1" x14ac:dyDescent="0.25">
      <c r="A177" t="s">
        <v>478</v>
      </c>
      <c r="E177" s="42" t="s">
        <v>479</v>
      </c>
      <c r="F177" s="43" t="s">
        <v>480</v>
      </c>
      <c r="G177" s="14">
        <v>0</v>
      </c>
      <c r="H177" s="2"/>
      <c r="I177" s="19"/>
      <c r="J177" s="14">
        <v>0</v>
      </c>
      <c r="K177" s="2"/>
      <c r="L177" s="19"/>
      <c r="M177" s="14">
        <v>0</v>
      </c>
      <c r="N177" s="2"/>
      <c r="O177" s="14">
        <v>0</v>
      </c>
      <c r="P177" s="2"/>
      <c r="Q177" s="14">
        <v>0</v>
      </c>
      <c r="R177" s="2"/>
      <c r="S177" s="44">
        <f>[1]!DDIFF(0,0)</f>
        <v>0</v>
      </c>
      <c r="T177" s="2"/>
      <c r="U177" s="1"/>
      <c r="V177" s="62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</row>
    <row r="178" spans="1:67" collapsed="1" x14ac:dyDescent="0.25">
      <c r="A178" t="s">
        <v>481</v>
      </c>
      <c r="E178" s="42" t="s">
        <v>482</v>
      </c>
      <c r="F178" s="43" t="s">
        <v>483</v>
      </c>
      <c r="G178" s="14">
        <v>15843</v>
      </c>
      <c r="H178" s="2"/>
      <c r="I178" s="19"/>
      <c r="J178" s="14">
        <v>7000</v>
      </c>
      <c r="K178" s="2"/>
      <c r="L178" s="19"/>
      <c r="M178" s="14">
        <v>0</v>
      </c>
      <c r="N178" s="2"/>
      <c r="O178" s="14">
        <v>22843</v>
      </c>
      <c r="P178" s="55" t="s">
        <v>2863</v>
      </c>
      <c r="Q178" s="14">
        <v>-257</v>
      </c>
      <c r="R178" s="2"/>
      <c r="S178" s="44">
        <f>[1]!DDIFF(-257,22843)</f>
        <v>23100</v>
      </c>
      <c r="T178" s="2"/>
      <c r="U178" s="1"/>
      <c r="V178" s="62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</row>
    <row r="179" spans="1:67" hidden="1" outlineLevel="1" x14ac:dyDescent="0.25">
      <c r="A179" t="s">
        <v>2737</v>
      </c>
      <c r="E179" s="7"/>
      <c r="F179" s="10"/>
      <c r="G179" s="14"/>
      <c r="H179" s="2"/>
      <c r="I179" s="54" t="s">
        <v>2736</v>
      </c>
      <c r="J179" s="14">
        <v>7000</v>
      </c>
      <c r="K179" s="2"/>
      <c r="L179" s="19"/>
      <c r="M179" s="14"/>
      <c r="N179" s="2"/>
      <c r="O179" s="14"/>
      <c r="P179" s="2"/>
      <c r="Q179" s="14"/>
      <c r="R179" s="2"/>
      <c r="S179" s="14"/>
      <c r="T179" s="2"/>
      <c r="U179" s="1"/>
      <c r="V179" s="62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</row>
    <row r="180" spans="1:67" x14ac:dyDescent="0.25">
      <c r="A180" t="s">
        <v>484</v>
      </c>
      <c r="E180" s="42" t="s">
        <v>485</v>
      </c>
      <c r="F180" s="43" t="s">
        <v>486</v>
      </c>
      <c r="G180" s="14">
        <v>17590</v>
      </c>
      <c r="H180" s="2"/>
      <c r="I180" s="19"/>
      <c r="J180" s="14">
        <v>0</v>
      </c>
      <c r="K180" s="2"/>
      <c r="L180" s="19"/>
      <c r="M180" s="14">
        <v>0</v>
      </c>
      <c r="N180" s="2"/>
      <c r="O180" s="14">
        <v>17590</v>
      </c>
      <c r="P180" s="55" t="s">
        <v>2863</v>
      </c>
      <c r="Q180" s="14">
        <v>17590</v>
      </c>
      <c r="R180" s="2"/>
      <c r="S180" s="44">
        <f>[1]!DDIFF(17590,17590)</f>
        <v>0</v>
      </c>
      <c r="T180" s="2"/>
      <c r="U180" s="1"/>
      <c r="V180" s="62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</row>
    <row r="181" spans="1:67" x14ac:dyDescent="0.25">
      <c r="A181" t="s">
        <v>487</v>
      </c>
      <c r="E181" s="42" t="s">
        <v>488</v>
      </c>
      <c r="F181" s="43" t="s">
        <v>489</v>
      </c>
      <c r="G181" s="14">
        <v>1765</v>
      </c>
      <c r="H181" s="2"/>
      <c r="I181" s="19"/>
      <c r="J181" s="14">
        <v>0</v>
      </c>
      <c r="K181" s="2"/>
      <c r="L181" s="19"/>
      <c r="M181" s="14">
        <v>0</v>
      </c>
      <c r="N181" s="2"/>
      <c r="O181" s="14">
        <v>1765</v>
      </c>
      <c r="P181" s="55" t="s">
        <v>2863</v>
      </c>
      <c r="Q181" s="14">
        <v>1765</v>
      </c>
      <c r="R181" s="2"/>
      <c r="S181" s="44">
        <f>[1]!DDIFF(1765,1765)</f>
        <v>0</v>
      </c>
      <c r="T181" s="2"/>
      <c r="U181" s="1"/>
      <c r="V181" s="62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</row>
    <row r="182" spans="1:67" hidden="1" x14ac:dyDescent="0.25">
      <c r="A182" t="s">
        <v>490</v>
      </c>
      <c r="E182" s="42" t="s">
        <v>491</v>
      </c>
      <c r="F182" s="43" t="s">
        <v>492</v>
      </c>
      <c r="G182" s="14">
        <v>0</v>
      </c>
      <c r="H182" s="2"/>
      <c r="I182" s="19"/>
      <c r="J182" s="14">
        <v>0</v>
      </c>
      <c r="K182" s="2"/>
      <c r="L182" s="19"/>
      <c r="M182" s="14">
        <v>0</v>
      </c>
      <c r="N182" s="2"/>
      <c r="O182" s="14">
        <v>0</v>
      </c>
      <c r="P182" s="2"/>
      <c r="Q182" s="14">
        <v>0</v>
      </c>
      <c r="R182" s="2"/>
      <c r="S182" s="44">
        <f>[1]!DDIFF(0,0)</f>
        <v>0</v>
      </c>
      <c r="T182" s="2"/>
      <c r="U182" s="1"/>
      <c r="V182" s="62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</row>
    <row r="183" spans="1:67" hidden="1" x14ac:dyDescent="0.25">
      <c r="A183" t="s">
        <v>493</v>
      </c>
      <c r="E183" s="42" t="s">
        <v>494</v>
      </c>
      <c r="F183" s="43" t="s">
        <v>495</v>
      </c>
      <c r="G183" s="14">
        <v>0</v>
      </c>
      <c r="H183" s="2"/>
      <c r="I183" s="19"/>
      <c r="J183" s="14">
        <v>0</v>
      </c>
      <c r="K183" s="2"/>
      <c r="L183" s="19"/>
      <c r="M183" s="14">
        <v>0</v>
      </c>
      <c r="N183" s="2"/>
      <c r="O183" s="14">
        <v>0</v>
      </c>
      <c r="P183" s="2"/>
      <c r="Q183" s="14">
        <v>0</v>
      </c>
      <c r="R183" s="2"/>
      <c r="S183" s="44">
        <f>[1]!DDIFF(0,0)</f>
        <v>0</v>
      </c>
      <c r="T183" s="2"/>
      <c r="U183" s="1"/>
      <c r="V183" s="62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</row>
    <row r="184" spans="1:67" hidden="1" x14ac:dyDescent="0.25">
      <c r="A184" t="s">
        <v>496</v>
      </c>
      <c r="E184" s="42" t="s">
        <v>497</v>
      </c>
      <c r="F184" s="43" t="s">
        <v>498</v>
      </c>
      <c r="G184" s="14">
        <v>0</v>
      </c>
      <c r="H184" s="2"/>
      <c r="I184" s="19"/>
      <c r="J184" s="14">
        <v>0</v>
      </c>
      <c r="K184" s="2"/>
      <c r="L184" s="19"/>
      <c r="M184" s="14">
        <v>0</v>
      </c>
      <c r="N184" s="2"/>
      <c r="O184" s="14">
        <v>0</v>
      </c>
      <c r="P184" s="2"/>
      <c r="Q184" s="14">
        <v>0</v>
      </c>
      <c r="R184" s="2"/>
      <c r="S184" s="44">
        <f>[1]!DDIFF(0,0)</f>
        <v>0</v>
      </c>
      <c r="T184" s="2"/>
      <c r="U184" s="1"/>
      <c r="V184" s="62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</row>
    <row r="185" spans="1:67" hidden="1" x14ac:dyDescent="0.25">
      <c r="A185" t="s">
        <v>499</v>
      </c>
      <c r="E185" s="42" t="s">
        <v>500</v>
      </c>
      <c r="F185" s="43" t="s">
        <v>501</v>
      </c>
      <c r="G185" s="14">
        <v>0</v>
      </c>
      <c r="H185" s="2"/>
      <c r="I185" s="19"/>
      <c r="J185" s="14">
        <v>0</v>
      </c>
      <c r="K185" s="2"/>
      <c r="L185" s="19"/>
      <c r="M185" s="14">
        <v>0</v>
      </c>
      <c r="N185" s="2"/>
      <c r="O185" s="14">
        <v>0</v>
      </c>
      <c r="P185" s="2"/>
      <c r="Q185" s="14">
        <v>0</v>
      </c>
      <c r="R185" s="2"/>
      <c r="S185" s="44">
        <f>[1]!DDIFF(0,0)</f>
        <v>0</v>
      </c>
      <c r="T185" s="2"/>
      <c r="U185" s="1"/>
      <c r="V185" s="62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</row>
    <row r="186" spans="1:67" hidden="1" x14ac:dyDescent="0.25">
      <c r="A186" t="s">
        <v>502</v>
      </c>
      <c r="E186" s="42" t="s">
        <v>503</v>
      </c>
      <c r="F186" s="43" t="s">
        <v>114</v>
      </c>
      <c r="G186" s="14">
        <v>0</v>
      </c>
      <c r="H186" s="2"/>
      <c r="I186" s="19"/>
      <c r="J186" s="14">
        <v>0</v>
      </c>
      <c r="K186" s="2"/>
      <c r="L186" s="19"/>
      <c r="M186" s="14">
        <v>0</v>
      </c>
      <c r="N186" s="2"/>
      <c r="O186" s="14">
        <v>0</v>
      </c>
      <c r="P186" s="2"/>
      <c r="Q186" s="14">
        <v>0</v>
      </c>
      <c r="R186" s="2"/>
      <c r="S186" s="44">
        <f>[1]!DDIFF(0,0)</f>
        <v>0</v>
      </c>
      <c r="T186" s="2"/>
      <c r="U186" s="1"/>
      <c r="V186" s="62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</row>
    <row r="187" spans="1:67" hidden="1" x14ac:dyDescent="0.25">
      <c r="A187" t="s">
        <v>504</v>
      </c>
      <c r="E187" s="42" t="s">
        <v>505</v>
      </c>
      <c r="F187" s="43" t="s">
        <v>506</v>
      </c>
      <c r="G187" s="14">
        <v>0</v>
      </c>
      <c r="H187" s="2"/>
      <c r="I187" s="19"/>
      <c r="J187" s="14">
        <v>0</v>
      </c>
      <c r="K187" s="2"/>
      <c r="L187" s="19"/>
      <c r="M187" s="14">
        <v>0</v>
      </c>
      <c r="N187" s="2"/>
      <c r="O187" s="14">
        <v>0</v>
      </c>
      <c r="P187" s="2"/>
      <c r="Q187" s="14">
        <v>0</v>
      </c>
      <c r="R187" s="2"/>
      <c r="S187" s="44">
        <f>[1]!DDIFF(0,0)</f>
        <v>0</v>
      </c>
      <c r="T187" s="2"/>
      <c r="U187" s="1"/>
      <c r="V187" s="62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</row>
    <row r="188" spans="1:67" hidden="1" x14ac:dyDescent="0.25">
      <c r="A188" t="s">
        <v>507</v>
      </c>
      <c r="E188" s="42" t="s">
        <v>508</v>
      </c>
      <c r="F188" s="43" t="s">
        <v>509</v>
      </c>
      <c r="G188" s="14">
        <v>0</v>
      </c>
      <c r="H188" s="2"/>
      <c r="I188" s="19"/>
      <c r="J188" s="14">
        <v>0</v>
      </c>
      <c r="K188" s="2"/>
      <c r="L188" s="19"/>
      <c r="M188" s="14">
        <v>0</v>
      </c>
      <c r="N188" s="2"/>
      <c r="O188" s="14">
        <v>0</v>
      </c>
      <c r="P188" s="2"/>
      <c r="Q188" s="14">
        <v>0</v>
      </c>
      <c r="R188" s="2"/>
      <c r="S188" s="44">
        <f>[1]!DDIFF(0,0)</f>
        <v>0</v>
      </c>
      <c r="T188" s="2"/>
      <c r="U188" s="1"/>
      <c r="V188" s="62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</row>
    <row r="189" spans="1:67" hidden="1" x14ac:dyDescent="0.25">
      <c r="A189" t="s">
        <v>510</v>
      </c>
      <c r="E189" s="42" t="s">
        <v>511</v>
      </c>
      <c r="F189" s="43" t="s">
        <v>512</v>
      </c>
      <c r="G189" s="14">
        <v>0</v>
      </c>
      <c r="H189" s="2"/>
      <c r="I189" s="19"/>
      <c r="J189" s="14">
        <v>0</v>
      </c>
      <c r="K189" s="2"/>
      <c r="L189" s="19"/>
      <c r="M189" s="14">
        <v>0</v>
      </c>
      <c r="N189" s="2"/>
      <c r="O189" s="14">
        <v>0</v>
      </c>
      <c r="P189" s="2"/>
      <c r="Q189" s="14">
        <v>0</v>
      </c>
      <c r="R189" s="2"/>
      <c r="S189" s="44">
        <f>[1]!DDIFF(0,0)</f>
        <v>0</v>
      </c>
      <c r="T189" s="2"/>
      <c r="U189" s="1"/>
      <c r="V189" s="62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</row>
    <row r="190" spans="1:67" hidden="1" x14ac:dyDescent="0.25">
      <c r="A190" t="s">
        <v>513</v>
      </c>
      <c r="E190" s="42" t="s">
        <v>514</v>
      </c>
      <c r="F190" s="43" t="s">
        <v>512</v>
      </c>
      <c r="G190" s="14">
        <v>0</v>
      </c>
      <c r="H190" s="2"/>
      <c r="I190" s="19"/>
      <c r="J190" s="14">
        <v>0</v>
      </c>
      <c r="K190" s="2"/>
      <c r="L190" s="19"/>
      <c r="M190" s="14">
        <v>0</v>
      </c>
      <c r="N190" s="2"/>
      <c r="O190" s="14">
        <v>0</v>
      </c>
      <c r="P190" s="2"/>
      <c r="Q190" s="14">
        <v>0</v>
      </c>
      <c r="R190" s="2"/>
      <c r="S190" s="44">
        <f>[1]!DDIFF(0,0)</f>
        <v>0</v>
      </c>
      <c r="T190" s="2"/>
      <c r="U190" s="1"/>
      <c r="V190" s="6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</row>
    <row r="191" spans="1:67" hidden="1" x14ac:dyDescent="0.25">
      <c r="A191" t="s">
        <v>515</v>
      </c>
      <c r="E191" s="42" t="s">
        <v>516</v>
      </c>
      <c r="F191" s="43" t="s">
        <v>512</v>
      </c>
      <c r="G191" s="14">
        <v>0</v>
      </c>
      <c r="H191" s="2"/>
      <c r="I191" s="19"/>
      <c r="J191" s="14">
        <v>0</v>
      </c>
      <c r="K191" s="2"/>
      <c r="L191" s="19"/>
      <c r="M191" s="14">
        <v>0</v>
      </c>
      <c r="N191" s="2"/>
      <c r="O191" s="14">
        <v>0</v>
      </c>
      <c r="P191" s="2"/>
      <c r="Q191" s="14">
        <v>0</v>
      </c>
      <c r="R191" s="2"/>
      <c r="S191" s="44">
        <f>[1]!DDIFF(0,0)</f>
        <v>0</v>
      </c>
      <c r="T191" s="2"/>
      <c r="U191" s="1"/>
      <c r="V191" s="6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</row>
    <row r="192" spans="1:67" x14ac:dyDescent="0.25">
      <c r="A192" t="s">
        <v>517</v>
      </c>
      <c r="E192" s="45" t="s">
        <v>518</v>
      </c>
      <c r="F192" s="46" t="s">
        <v>462</v>
      </c>
      <c r="G192" s="15">
        <v>35198</v>
      </c>
      <c r="H192" s="3"/>
      <c r="I192" s="20"/>
      <c r="J192" s="15">
        <v>7000</v>
      </c>
      <c r="K192" s="3"/>
      <c r="L192" s="20"/>
      <c r="M192" s="15">
        <v>0</v>
      </c>
      <c r="N192" s="3"/>
      <c r="O192" s="15">
        <v>42198</v>
      </c>
      <c r="P192" s="3"/>
      <c r="Q192" s="15">
        <v>19098</v>
      </c>
      <c r="R192" s="3"/>
      <c r="S192" s="47">
        <f>[1]!DDIFF(19098,42198)</f>
        <v>23100</v>
      </c>
      <c r="T192" s="3"/>
      <c r="U192" s="1"/>
      <c r="V192" s="62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</row>
    <row r="193" spans="1:67" x14ac:dyDescent="0.25">
      <c r="A193" t="s">
        <v>519</v>
      </c>
      <c r="H193" s="1"/>
      <c r="K193" s="1"/>
      <c r="N193" s="1"/>
      <c r="P193" s="1"/>
      <c r="R193" s="1"/>
      <c r="T193" s="1"/>
      <c r="U193" s="1"/>
      <c r="V193" s="62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</row>
    <row r="194" spans="1:67" x14ac:dyDescent="0.25">
      <c r="A194" t="s">
        <v>520</v>
      </c>
      <c r="E194" s="40" t="s">
        <v>521</v>
      </c>
      <c r="F194" s="41" t="s">
        <v>522</v>
      </c>
      <c r="H194" s="1"/>
      <c r="K194" s="1"/>
      <c r="N194" s="1"/>
      <c r="P194" s="1"/>
      <c r="R194" s="1"/>
      <c r="T194" s="1"/>
      <c r="U194" s="1"/>
      <c r="V194" s="62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</row>
    <row r="195" spans="1:67" x14ac:dyDescent="0.25">
      <c r="A195" t="s">
        <v>523</v>
      </c>
      <c r="E195" s="42" t="s">
        <v>524</v>
      </c>
      <c r="F195" s="43" t="s">
        <v>525</v>
      </c>
      <c r="G195" s="14">
        <v>754548</v>
      </c>
      <c r="H195" s="2"/>
      <c r="I195" s="19"/>
      <c r="J195" s="14">
        <v>0</v>
      </c>
      <c r="K195" s="2"/>
      <c r="L195" s="19"/>
      <c r="M195" s="14">
        <v>0</v>
      </c>
      <c r="N195" s="2"/>
      <c r="O195" s="14">
        <v>754548</v>
      </c>
      <c r="P195" s="55" t="s">
        <v>2863</v>
      </c>
      <c r="Q195" s="14">
        <v>715971</v>
      </c>
      <c r="R195" s="2"/>
      <c r="S195" s="44">
        <f>[1]!DDIFF(715971,754548)</f>
        <v>38577</v>
      </c>
      <c r="T195" s="2"/>
      <c r="U195" s="1"/>
      <c r="V195" s="62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</row>
    <row r="196" spans="1:67" x14ac:dyDescent="0.25">
      <c r="A196" t="s">
        <v>526</v>
      </c>
      <c r="E196" s="45" t="s">
        <v>527</v>
      </c>
      <c r="F196" s="46" t="s">
        <v>522</v>
      </c>
      <c r="G196" s="15">
        <v>754548</v>
      </c>
      <c r="H196" s="3"/>
      <c r="I196" s="20"/>
      <c r="J196" s="15">
        <v>0</v>
      </c>
      <c r="K196" s="3"/>
      <c r="L196" s="20"/>
      <c r="M196" s="15">
        <v>0</v>
      </c>
      <c r="N196" s="3"/>
      <c r="O196" s="15">
        <v>754548</v>
      </c>
      <c r="P196" s="3"/>
      <c r="Q196" s="15">
        <v>715971</v>
      </c>
      <c r="R196" s="3"/>
      <c r="S196" s="47">
        <f>[1]!DDIFF(715971,754548)</f>
        <v>38577</v>
      </c>
      <c r="T196" s="3"/>
      <c r="U196" s="1"/>
      <c r="V196" s="62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</row>
    <row r="197" spans="1:67" x14ac:dyDescent="0.25">
      <c r="A197" t="s">
        <v>528</v>
      </c>
      <c r="H197" s="1"/>
      <c r="K197" s="1"/>
      <c r="N197" s="1"/>
      <c r="P197" s="1"/>
      <c r="R197" s="1"/>
      <c r="T197" s="1"/>
      <c r="U197" s="1"/>
      <c r="V197" s="62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</row>
    <row r="198" spans="1:67" x14ac:dyDescent="0.25">
      <c r="A198" t="s">
        <v>529</v>
      </c>
      <c r="E198" s="40" t="s">
        <v>530</v>
      </c>
      <c r="F198" s="41" t="s">
        <v>531</v>
      </c>
      <c r="H198" s="1"/>
      <c r="K198" s="1"/>
      <c r="N198" s="1"/>
      <c r="P198" s="1"/>
      <c r="R198" s="1"/>
      <c r="T198" s="1"/>
      <c r="U198" s="1"/>
      <c r="V198" s="62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</row>
    <row r="199" spans="1:67" x14ac:dyDescent="0.25">
      <c r="A199" t="s">
        <v>532</v>
      </c>
      <c r="E199" s="42" t="s">
        <v>533</v>
      </c>
      <c r="F199" s="43" t="s">
        <v>534</v>
      </c>
      <c r="G199" s="14">
        <v>1526149</v>
      </c>
      <c r="H199" s="2"/>
      <c r="I199" s="19"/>
      <c r="J199" s="14">
        <v>0</v>
      </c>
      <c r="K199" s="2"/>
      <c r="L199" s="19"/>
      <c r="M199" s="14">
        <v>0</v>
      </c>
      <c r="N199" s="2"/>
      <c r="O199" s="14">
        <v>1526149</v>
      </c>
      <c r="P199" s="55" t="s">
        <v>2863</v>
      </c>
      <c r="Q199" s="14">
        <v>1526149</v>
      </c>
      <c r="R199" s="2"/>
      <c r="S199" s="44">
        <f>[1]!DDIFF(1526149,1526149)</f>
        <v>0</v>
      </c>
      <c r="T199" s="2"/>
      <c r="U199" s="1"/>
      <c r="V199" s="62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</row>
    <row r="200" spans="1:67" hidden="1" x14ac:dyDescent="0.25">
      <c r="A200" t="s">
        <v>535</v>
      </c>
      <c r="E200" s="42" t="s">
        <v>536</v>
      </c>
      <c r="F200" s="43" t="s">
        <v>534</v>
      </c>
      <c r="G200" s="14">
        <v>0</v>
      </c>
      <c r="H200" s="2"/>
      <c r="I200" s="19"/>
      <c r="J200" s="14">
        <v>0</v>
      </c>
      <c r="K200" s="2"/>
      <c r="L200" s="19"/>
      <c r="M200" s="14">
        <v>0</v>
      </c>
      <c r="N200" s="2"/>
      <c r="O200" s="14">
        <v>0</v>
      </c>
      <c r="P200" s="2"/>
      <c r="Q200" s="14">
        <v>0</v>
      </c>
      <c r="R200" s="2"/>
      <c r="S200" s="44">
        <f>[1]!DDIFF(0,0)</f>
        <v>0</v>
      </c>
      <c r="T200" s="2"/>
      <c r="U200" s="1"/>
      <c r="V200" s="62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</row>
    <row r="201" spans="1:67" x14ac:dyDescent="0.25">
      <c r="A201" t="s">
        <v>537</v>
      </c>
      <c r="E201" s="45" t="s">
        <v>538</v>
      </c>
      <c r="F201" s="46" t="s">
        <v>531</v>
      </c>
      <c r="G201" s="15">
        <v>1526149</v>
      </c>
      <c r="H201" s="3"/>
      <c r="I201" s="20"/>
      <c r="J201" s="15">
        <v>0</v>
      </c>
      <c r="K201" s="3"/>
      <c r="L201" s="20"/>
      <c r="M201" s="15">
        <v>0</v>
      </c>
      <c r="N201" s="3"/>
      <c r="O201" s="15">
        <v>1526149</v>
      </c>
      <c r="P201" s="3"/>
      <c r="Q201" s="15">
        <v>1526149</v>
      </c>
      <c r="R201" s="3"/>
      <c r="S201" s="47">
        <f>[1]!DDIFF(1526149,1526149)</f>
        <v>0</v>
      </c>
      <c r="T201" s="3"/>
      <c r="U201" s="1"/>
      <c r="V201" s="62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</row>
    <row r="202" spans="1:67" x14ac:dyDescent="0.25">
      <c r="A202" t="s">
        <v>539</v>
      </c>
      <c r="H202" s="1"/>
      <c r="K202" s="1"/>
      <c r="N202" s="1"/>
      <c r="P202" s="1"/>
      <c r="R202" s="1"/>
      <c r="T202" s="1"/>
      <c r="U202" s="1"/>
      <c r="V202" s="62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</row>
    <row r="203" spans="1:67" hidden="1" x14ac:dyDescent="0.25">
      <c r="A203" t="s">
        <v>540</v>
      </c>
      <c r="E203" s="40" t="s">
        <v>190</v>
      </c>
      <c r="F203" s="11"/>
      <c r="H203" s="1"/>
      <c r="K203" s="1"/>
      <c r="N203" s="1"/>
      <c r="P203" s="1"/>
      <c r="R203" s="1"/>
      <c r="T203" s="1"/>
      <c r="U203" s="1"/>
      <c r="V203" s="62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</row>
    <row r="204" spans="1:67" hidden="1" x14ac:dyDescent="0.25">
      <c r="A204" t="s">
        <v>541</v>
      </c>
      <c r="E204" s="45" t="s">
        <v>192</v>
      </c>
      <c r="F204" s="12"/>
      <c r="G204" s="15">
        <v>0</v>
      </c>
      <c r="H204" s="3"/>
      <c r="I204" s="20"/>
      <c r="J204" s="15">
        <v>0</v>
      </c>
      <c r="K204" s="3"/>
      <c r="L204" s="20"/>
      <c r="M204" s="15">
        <v>0</v>
      </c>
      <c r="N204" s="3"/>
      <c r="O204" s="15">
        <v>0</v>
      </c>
      <c r="P204" s="3"/>
      <c r="Q204" s="15">
        <v>0</v>
      </c>
      <c r="R204" s="3"/>
      <c r="S204" s="47">
        <f>[1]!DDIFF(0,0)</f>
        <v>0</v>
      </c>
      <c r="T204" s="3"/>
      <c r="U204" s="1"/>
      <c r="V204" s="62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</row>
    <row r="205" spans="1:67" x14ac:dyDescent="0.25">
      <c r="A205" t="s">
        <v>542</v>
      </c>
      <c r="E205" s="48" t="s">
        <v>543</v>
      </c>
      <c r="F205" s="49" t="s">
        <v>441</v>
      </c>
      <c r="G205" s="16">
        <v>4248504</v>
      </c>
      <c r="H205" s="4"/>
      <c r="I205" s="21"/>
      <c r="J205" s="16">
        <v>7000</v>
      </c>
      <c r="K205" s="4"/>
      <c r="L205" s="21"/>
      <c r="M205" s="16">
        <v>0</v>
      </c>
      <c r="N205" s="4"/>
      <c r="O205" s="16">
        <v>4255504</v>
      </c>
      <c r="P205" s="4"/>
      <c r="Q205" s="16">
        <v>4193827</v>
      </c>
      <c r="R205" s="4"/>
      <c r="S205" s="50">
        <f>[1]!DDIFF(4193827,4255504)</f>
        <v>61677</v>
      </c>
      <c r="T205" s="4"/>
      <c r="U205" s="1"/>
      <c r="V205" s="62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</row>
    <row r="206" spans="1:67" x14ac:dyDescent="0.25">
      <c r="A206" t="s">
        <v>544</v>
      </c>
      <c r="H206" s="1"/>
      <c r="K206" s="1"/>
      <c r="N206" s="1"/>
      <c r="P206" s="1"/>
      <c r="R206" s="1"/>
      <c r="T206" s="1"/>
      <c r="U206" s="1"/>
      <c r="V206" s="62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</row>
    <row r="207" spans="1:67" x14ac:dyDescent="0.25">
      <c r="A207" t="s">
        <v>545</v>
      </c>
      <c r="E207" s="38" t="s">
        <v>546</v>
      </c>
      <c r="F207" s="39" t="s">
        <v>547</v>
      </c>
      <c r="H207" s="1"/>
      <c r="K207" s="1"/>
      <c r="N207" s="1"/>
      <c r="P207" s="1"/>
      <c r="R207" s="1"/>
      <c r="T207" s="1"/>
      <c r="U207" s="1"/>
      <c r="V207" s="62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</row>
    <row r="208" spans="1:67" x14ac:dyDescent="0.25">
      <c r="A208" t="s">
        <v>548</v>
      </c>
      <c r="E208" s="40" t="s">
        <v>549</v>
      </c>
      <c r="F208" s="41" t="s">
        <v>550</v>
      </c>
      <c r="H208" s="1"/>
      <c r="K208" s="1"/>
      <c r="N208" s="1"/>
      <c r="P208" s="1"/>
      <c r="R208" s="1"/>
      <c r="T208" s="1"/>
      <c r="U208" s="1"/>
      <c r="V208" s="62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</row>
    <row r="209" spans="1:67" hidden="1" x14ac:dyDescent="0.25">
      <c r="A209" t="s">
        <v>551</v>
      </c>
      <c r="E209" s="42" t="s">
        <v>552</v>
      </c>
      <c r="F209" s="43" t="s">
        <v>553</v>
      </c>
      <c r="G209" s="14">
        <v>0</v>
      </c>
      <c r="H209" s="2"/>
      <c r="I209" s="19"/>
      <c r="J209" s="14">
        <v>0</v>
      </c>
      <c r="K209" s="2"/>
      <c r="L209" s="19"/>
      <c r="M209" s="14">
        <v>0</v>
      </c>
      <c r="N209" s="2"/>
      <c r="O209" s="14">
        <v>0</v>
      </c>
      <c r="P209" s="2"/>
      <c r="Q209" s="14">
        <v>0</v>
      </c>
      <c r="R209" s="2"/>
      <c r="S209" s="44">
        <f>[1]!DDIFF(0,0)</f>
        <v>0</v>
      </c>
      <c r="T209" s="2"/>
      <c r="U209" s="1"/>
      <c r="V209" s="62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</row>
    <row r="210" spans="1:67" hidden="1" x14ac:dyDescent="0.25">
      <c r="A210" t="s">
        <v>554</v>
      </c>
      <c r="E210" s="42" t="s">
        <v>555</v>
      </c>
      <c r="F210" s="43" t="s">
        <v>556</v>
      </c>
      <c r="G210" s="14">
        <v>0</v>
      </c>
      <c r="H210" s="2"/>
      <c r="I210" s="19"/>
      <c r="J210" s="14">
        <v>0</v>
      </c>
      <c r="K210" s="2"/>
      <c r="L210" s="19"/>
      <c r="M210" s="14">
        <v>0</v>
      </c>
      <c r="N210" s="2"/>
      <c r="O210" s="14">
        <v>0</v>
      </c>
      <c r="P210" s="2"/>
      <c r="Q210" s="14">
        <v>0</v>
      </c>
      <c r="R210" s="2"/>
      <c r="S210" s="44">
        <f>[1]!DDIFF(0,0)</f>
        <v>0</v>
      </c>
      <c r="T210" s="2"/>
      <c r="U210" s="1"/>
      <c r="V210" s="62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</row>
    <row r="211" spans="1:67" x14ac:dyDescent="0.25">
      <c r="A211" t="s">
        <v>557</v>
      </c>
      <c r="E211" s="42" t="s">
        <v>558</v>
      </c>
      <c r="F211" s="43" t="s">
        <v>453</v>
      </c>
      <c r="G211" s="14">
        <v>738100</v>
      </c>
      <c r="H211" s="2"/>
      <c r="I211" s="19"/>
      <c r="J211" s="14">
        <v>0</v>
      </c>
      <c r="K211" s="2"/>
      <c r="L211" s="19"/>
      <c r="M211" s="14">
        <v>0</v>
      </c>
      <c r="N211" s="2"/>
      <c r="O211" s="14">
        <v>738100</v>
      </c>
      <c r="P211" s="55" t="s">
        <v>2863</v>
      </c>
      <c r="Q211" s="14">
        <v>738100</v>
      </c>
      <c r="R211" s="2"/>
      <c r="S211" s="44">
        <f>[1]!DDIFF(738100,738100)</f>
        <v>0</v>
      </c>
      <c r="T211" s="2"/>
      <c r="U211" s="1"/>
      <c r="V211" s="62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</row>
    <row r="212" spans="1:67" hidden="1" x14ac:dyDescent="0.25">
      <c r="A212" t="s">
        <v>559</v>
      </c>
      <c r="E212" s="42" t="s">
        <v>560</v>
      </c>
      <c r="F212" s="43" t="s">
        <v>561</v>
      </c>
      <c r="G212" s="14">
        <v>0</v>
      </c>
      <c r="H212" s="2"/>
      <c r="I212" s="19"/>
      <c r="J212" s="14">
        <v>0</v>
      </c>
      <c r="K212" s="2"/>
      <c r="L212" s="19"/>
      <c r="M212" s="14">
        <v>0</v>
      </c>
      <c r="N212" s="2"/>
      <c r="O212" s="14">
        <v>0</v>
      </c>
      <c r="P212" s="2"/>
      <c r="Q212" s="14">
        <v>0</v>
      </c>
      <c r="R212" s="2"/>
      <c r="S212" s="44">
        <f>[1]!DDIFF(0,0)</f>
        <v>0</v>
      </c>
      <c r="T212" s="2"/>
      <c r="U212" s="1"/>
      <c r="V212" s="62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</row>
    <row r="213" spans="1:67" collapsed="1" x14ac:dyDescent="0.25">
      <c r="A213" t="s">
        <v>562</v>
      </c>
      <c r="E213" s="42" t="s">
        <v>563</v>
      </c>
      <c r="F213" s="43" t="s">
        <v>2693</v>
      </c>
      <c r="G213" s="14">
        <v>2297175</v>
      </c>
      <c r="H213" s="2"/>
      <c r="I213" s="19"/>
      <c r="J213" s="14">
        <v>0</v>
      </c>
      <c r="K213" s="2"/>
      <c r="L213" s="19"/>
      <c r="M213" s="14">
        <v>0</v>
      </c>
      <c r="N213" s="2"/>
      <c r="O213" s="14">
        <v>2297175</v>
      </c>
      <c r="P213" s="55" t="s">
        <v>2863</v>
      </c>
      <c r="Q213" s="14">
        <v>2195371</v>
      </c>
      <c r="R213" s="2"/>
      <c r="S213" s="44">
        <f>[1]!DDIFF(2195371,2297175)</f>
        <v>101804</v>
      </c>
      <c r="T213" s="2"/>
      <c r="U213" s="1"/>
      <c r="V213" s="62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</row>
    <row r="214" spans="1:67" x14ac:dyDescent="0.25">
      <c r="A214" t="s">
        <v>564</v>
      </c>
      <c r="E214" s="45" t="s">
        <v>565</v>
      </c>
      <c r="F214" s="46" t="s">
        <v>550</v>
      </c>
      <c r="G214" s="15">
        <v>3035275</v>
      </c>
      <c r="H214" s="3"/>
      <c r="I214" s="20"/>
      <c r="J214" s="15">
        <v>0</v>
      </c>
      <c r="K214" s="3"/>
      <c r="L214" s="20"/>
      <c r="M214" s="15">
        <v>0</v>
      </c>
      <c r="N214" s="3"/>
      <c r="O214" s="15">
        <v>3035275</v>
      </c>
      <c r="P214" s="3"/>
      <c r="Q214" s="15">
        <v>2933471</v>
      </c>
      <c r="R214" s="3"/>
      <c r="S214" s="47">
        <f>[1]!DDIFF(2933471,3035275)</f>
        <v>101804</v>
      </c>
      <c r="T214" s="3"/>
      <c r="U214" s="1"/>
      <c r="V214" s="62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</row>
    <row r="215" spans="1:67" x14ac:dyDescent="0.25">
      <c r="A215" t="s">
        <v>566</v>
      </c>
      <c r="H215" s="1"/>
      <c r="K215" s="1"/>
      <c r="N215" s="1"/>
      <c r="P215" s="1"/>
      <c r="R215" s="1"/>
      <c r="T215" s="1"/>
      <c r="U215" s="1"/>
      <c r="V215" s="62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</row>
    <row r="216" spans="1:67" hidden="1" x14ac:dyDescent="0.25">
      <c r="A216" t="s">
        <v>567</v>
      </c>
      <c r="E216" s="40" t="s">
        <v>568</v>
      </c>
      <c r="F216" s="41" t="s">
        <v>569</v>
      </c>
      <c r="H216" s="1"/>
      <c r="K216" s="1"/>
      <c r="N216" s="1"/>
      <c r="P216" s="1"/>
      <c r="R216" s="1"/>
      <c r="T216" s="1"/>
      <c r="U216" s="1"/>
      <c r="V216" s="62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</row>
    <row r="217" spans="1:67" hidden="1" x14ac:dyDescent="0.25">
      <c r="A217" t="s">
        <v>570</v>
      </c>
      <c r="E217" s="42" t="s">
        <v>571</v>
      </c>
      <c r="F217" s="43" t="s">
        <v>572</v>
      </c>
      <c r="G217" s="14">
        <v>0</v>
      </c>
      <c r="H217" s="2"/>
      <c r="I217" s="19"/>
      <c r="J217" s="14">
        <v>0</v>
      </c>
      <c r="K217" s="2"/>
      <c r="L217" s="19"/>
      <c r="M217" s="14">
        <v>0</v>
      </c>
      <c r="N217" s="2"/>
      <c r="O217" s="14">
        <v>0</v>
      </c>
      <c r="P217" s="2"/>
      <c r="Q217" s="14">
        <v>0</v>
      </c>
      <c r="R217" s="2"/>
      <c r="S217" s="44">
        <f>[1]!DDIFF(0,0)</f>
        <v>0</v>
      </c>
      <c r="T217" s="2"/>
      <c r="U217" s="1"/>
      <c r="V217" s="62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</row>
    <row r="218" spans="1:67" hidden="1" x14ac:dyDescent="0.25">
      <c r="A218" t="s">
        <v>573</v>
      </c>
      <c r="E218" s="42" t="s">
        <v>574</v>
      </c>
      <c r="F218" s="43" t="s">
        <v>575</v>
      </c>
      <c r="G218" s="14">
        <v>0</v>
      </c>
      <c r="H218" s="2"/>
      <c r="I218" s="19"/>
      <c r="J218" s="14">
        <v>0</v>
      </c>
      <c r="K218" s="2"/>
      <c r="L218" s="19"/>
      <c r="M218" s="14">
        <v>0</v>
      </c>
      <c r="N218" s="2"/>
      <c r="O218" s="14">
        <v>0</v>
      </c>
      <c r="P218" s="2"/>
      <c r="Q218" s="14">
        <v>0</v>
      </c>
      <c r="R218" s="2"/>
      <c r="S218" s="44">
        <f>[1]!DDIFF(0,0)</f>
        <v>0</v>
      </c>
      <c r="T218" s="2"/>
      <c r="U218" s="1"/>
      <c r="V218" s="62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</row>
    <row r="219" spans="1:67" hidden="1" x14ac:dyDescent="0.25">
      <c r="A219" t="s">
        <v>576</v>
      </c>
      <c r="E219" s="42" t="s">
        <v>577</v>
      </c>
      <c r="F219" s="43" t="s">
        <v>572</v>
      </c>
      <c r="G219" s="14">
        <v>0</v>
      </c>
      <c r="H219" s="2"/>
      <c r="I219" s="19"/>
      <c r="J219" s="14">
        <v>0</v>
      </c>
      <c r="K219" s="2"/>
      <c r="L219" s="19"/>
      <c r="M219" s="14">
        <v>0</v>
      </c>
      <c r="N219" s="2"/>
      <c r="O219" s="14">
        <v>0</v>
      </c>
      <c r="P219" s="2"/>
      <c r="Q219" s="14">
        <v>0</v>
      </c>
      <c r="R219" s="2"/>
      <c r="S219" s="44">
        <f>[1]!DDIFF(0,0)</f>
        <v>0</v>
      </c>
      <c r="T219" s="2"/>
      <c r="U219" s="1"/>
      <c r="V219" s="62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</row>
    <row r="220" spans="1:67" hidden="1" x14ac:dyDescent="0.25">
      <c r="A220" t="s">
        <v>578</v>
      </c>
      <c r="E220" s="45" t="s">
        <v>579</v>
      </c>
      <c r="F220" s="46" t="s">
        <v>569</v>
      </c>
      <c r="G220" s="15">
        <v>0</v>
      </c>
      <c r="H220" s="3"/>
      <c r="I220" s="20"/>
      <c r="J220" s="15">
        <v>0</v>
      </c>
      <c r="K220" s="3"/>
      <c r="L220" s="20"/>
      <c r="M220" s="15">
        <v>0</v>
      </c>
      <c r="N220" s="3"/>
      <c r="O220" s="15">
        <v>0</v>
      </c>
      <c r="P220" s="3"/>
      <c r="Q220" s="15">
        <v>0</v>
      </c>
      <c r="R220" s="3"/>
      <c r="S220" s="47">
        <f>[1]!DDIFF(0,0)</f>
        <v>0</v>
      </c>
      <c r="T220" s="3"/>
      <c r="U220" s="1"/>
      <c r="V220" s="62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</row>
    <row r="221" spans="1:67" hidden="1" x14ac:dyDescent="0.25">
      <c r="A221" t="s">
        <v>580</v>
      </c>
      <c r="H221" s="1"/>
      <c r="K221" s="1"/>
      <c r="N221" s="1"/>
      <c r="P221" s="1"/>
      <c r="R221" s="1"/>
      <c r="T221" s="1"/>
      <c r="U221" s="1"/>
      <c r="V221" s="62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</row>
    <row r="222" spans="1:67" hidden="1" x14ac:dyDescent="0.25">
      <c r="A222" t="s">
        <v>581</v>
      </c>
      <c r="E222" s="40" t="s">
        <v>582</v>
      </c>
      <c r="F222" s="41" t="s">
        <v>583</v>
      </c>
      <c r="H222" s="1"/>
      <c r="K222" s="1"/>
      <c r="N222" s="1"/>
      <c r="P222" s="1"/>
      <c r="R222" s="1"/>
      <c r="T222" s="1"/>
      <c r="U222" s="1"/>
      <c r="V222" s="62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</row>
    <row r="223" spans="1:67" hidden="1" x14ac:dyDescent="0.25">
      <c r="A223" t="s">
        <v>584</v>
      </c>
      <c r="E223" s="42" t="s">
        <v>585</v>
      </c>
      <c r="F223" s="43" t="s">
        <v>453</v>
      </c>
      <c r="G223" s="14">
        <v>0</v>
      </c>
      <c r="H223" s="2"/>
      <c r="I223" s="19"/>
      <c r="J223" s="14">
        <v>0</v>
      </c>
      <c r="K223" s="2"/>
      <c r="L223" s="19"/>
      <c r="M223" s="14">
        <v>0</v>
      </c>
      <c r="N223" s="2"/>
      <c r="O223" s="14">
        <v>0</v>
      </c>
      <c r="P223" s="2"/>
      <c r="Q223" s="14">
        <v>0</v>
      </c>
      <c r="R223" s="2"/>
      <c r="S223" s="44">
        <f>[1]!DDIFF(0,0)</f>
        <v>0</v>
      </c>
      <c r="T223" s="2"/>
      <c r="U223" s="1"/>
      <c r="V223" s="62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</row>
    <row r="224" spans="1:67" hidden="1" x14ac:dyDescent="0.25">
      <c r="A224" t="s">
        <v>586</v>
      </c>
      <c r="E224" s="45" t="s">
        <v>587</v>
      </c>
      <c r="F224" s="46" t="s">
        <v>583</v>
      </c>
      <c r="G224" s="15">
        <v>0</v>
      </c>
      <c r="H224" s="3"/>
      <c r="I224" s="20"/>
      <c r="J224" s="15">
        <v>0</v>
      </c>
      <c r="K224" s="3"/>
      <c r="L224" s="20"/>
      <c r="M224" s="15">
        <v>0</v>
      </c>
      <c r="N224" s="3"/>
      <c r="O224" s="15">
        <v>0</v>
      </c>
      <c r="P224" s="3"/>
      <c r="Q224" s="15">
        <v>0</v>
      </c>
      <c r="R224" s="3"/>
      <c r="S224" s="47">
        <f>[1]!DDIFF(0,0)</f>
        <v>0</v>
      </c>
      <c r="T224" s="3"/>
      <c r="U224" s="1"/>
      <c r="V224" s="62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</row>
    <row r="225" spans="1:67" hidden="1" x14ac:dyDescent="0.25">
      <c r="A225" t="s">
        <v>588</v>
      </c>
      <c r="H225" s="1"/>
      <c r="K225" s="1"/>
      <c r="N225" s="1"/>
      <c r="P225" s="1"/>
      <c r="R225" s="1"/>
      <c r="T225" s="1"/>
      <c r="U225" s="1"/>
      <c r="V225" s="62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</row>
    <row r="226" spans="1:67" hidden="1" x14ac:dyDescent="0.25">
      <c r="A226" t="s">
        <v>589</v>
      </c>
      <c r="E226" s="40" t="s">
        <v>190</v>
      </c>
      <c r="F226" s="11"/>
      <c r="H226" s="1"/>
      <c r="K226" s="1"/>
      <c r="N226" s="1"/>
      <c r="P226" s="1"/>
      <c r="R226" s="1"/>
      <c r="T226" s="1"/>
      <c r="U226" s="1"/>
      <c r="V226" s="62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</row>
    <row r="227" spans="1:67" hidden="1" x14ac:dyDescent="0.25">
      <c r="A227" t="s">
        <v>590</v>
      </c>
      <c r="E227" s="45" t="s">
        <v>192</v>
      </c>
      <c r="F227" s="12"/>
      <c r="G227" s="15">
        <v>0</v>
      </c>
      <c r="H227" s="3"/>
      <c r="I227" s="20"/>
      <c r="J227" s="15">
        <v>0</v>
      </c>
      <c r="K227" s="3"/>
      <c r="L227" s="20"/>
      <c r="M227" s="15">
        <v>0</v>
      </c>
      <c r="N227" s="3"/>
      <c r="O227" s="15">
        <v>0</v>
      </c>
      <c r="P227" s="3"/>
      <c r="Q227" s="15">
        <v>0</v>
      </c>
      <c r="R227" s="3"/>
      <c r="S227" s="47">
        <f>[1]!DDIFF(0,0)</f>
        <v>0</v>
      </c>
      <c r="T227" s="3"/>
      <c r="U227" s="1"/>
      <c r="V227" s="62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</row>
    <row r="228" spans="1:67" x14ac:dyDescent="0.25">
      <c r="A228" t="s">
        <v>591</v>
      </c>
      <c r="E228" s="48" t="s">
        <v>592</v>
      </c>
      <c r="F228" s="49" t="s">
        <v>547</v>
      </c>
      <c r="G228" s="16">
        <v>3035275</v>
      </c>
      <c r="H228" s="4"/>
      <c r="I228" s="21"/>
      <c r="J228" s="16">
        <v>0</v>
      </c>
      <c r="K228" s="4"/>
      <c r="L228" s="21"/>
      <c r="M228" s="16">
        <v>0</v>
      </c>
      <c r="N228" s="4"/>
      <c r="O228" s="16">
        <v>3035275</v>
      </c>
      <c r="P228" s="4"/>
      <c r="Q228" s="16">
        <v>2933471</v>
      </c>
      <c r="R228" s="4"/>
      <c r="S228" s="50">
        <f>[1]!DDIFF(2933471,3035275)</f>
        <v>101804</v>
      </c>
      <c r="T228" s="4"/>
      <c r="U228" s="1"/>
      <c r="V228" s="62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</row>
    <row r="229" spans="1:67" x14ac:dyDescent="0.25">
      <c r="A229" t="s">
        <v>593</v>
      </c>
      <c r="H229" s="1"/>
      <c r="K229" s="1"/>
      <c r="N229" s="1"/>
      <c r="P229" s="1"/>
      <c r="R229" s="1"/>
      <c r="T229" s="1"/>
      <c r="U229" s="1"/>
      <c r="V229" s="62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</row>
    <row r="230" spans="1:67" x14ac:dyDescent="0.25">
      <c r="A230" t="s">
        <v>594</v>
      </c>
      <c r="E230" s="38" t="s">
        <v>595</v>
      </c>
      <c r="F230" s="39" t="s">
        <v>596</v>
      </c>
      <c r="H230" s="1"/>
      <c r="K230" s="1"/>
      <c r="N230" s="1"/>
      <c r="P230" s="1"/>
      <c r="R230" s="1"/>
      <c r="T230" s="1"/>
      <c r="U230" s="1"/>
      <c r="V230" s="62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</row>
    <row r="231" spans="1:67" x14ac:dyDescent="0.25">
      <c r="A231" t="s">
        <v>597</v>
      </c>
      <c r="E231" s="40" t="s">
        <v>598</v>
      </c>
      <c r="F231" s="41" t="s">
        <v>599</v>
      </c>
      <c r="H231" s="1"/>
      <c r="K231" s="1"/>
      <c r="N231" s="1"/>
      <c r="P231" s="1"/>
      <c r="R231" s="1"/>
      <c r="T231" s="1"/>
      <c r="U231" s="1"/>
      <c r="V231" s="62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</row>
    <row r="232" spans="1:67" collapsed="1" x14ac:dyDescent="0.25">
      <c r="A232" t="s">
        <v>600</v>
      </c>
      <c r="E232" s="42" t="s">
        <v>601</v>
      </c>
      <c r="F232" s="43" t="s">
        <v>602</v>
      </c>
      <c r="G232" s="14">
        <v>1332172</v>
      </c>
      <c r="H232" s="2"/>
      <c r="I232" s="19"/>
      <c r="J232" s="14">
        <v>-99733</v>
      </c>
      <c r="K232" s="2"/>
      <c r="L232" s="19"/>
      <c r="M232" s="14">
        <v>0</v>
      </c>
      <c r="N232" s="2"/>
      <c r="O232" s="14">
        <v>1232439</v>
      </c>
      <c r="P232" s="55" t="s">
        <v>2863</v>
      </c>
      <c r="Q232" s="14">
        <v>1120997</v>
      </c>
      <c r="R232" s="2"/>
      <c r="S232" s="44">
        <f>[1]!DDIFF(1120997,1232439)</f>
        <v>111442</v>
      </c>
      <c r="T232" s="2"/>
      <c r="U232" s="1"/>
      <c r="V232" s="62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</row>
    <row r="233" spans="1:67" hidden="1" outlineLevel="1" x14ac:dyDescent="0.25">
      <c r="A233" t="s">
        <v>2784</v>
      </c>
      <c r="E233" s="7"/>
      <c r="F233" s="10"/>
      <c r="G233" s="14"/>
      <c r="H233" s="2"/>
      <c r="I233" s="54" t="s">
        <v>2785</v>
      </c>
      <c r="J233" s="14">
        <v>11000</v>
      </c>
      <c r="K233" s="2"/>
      <c r="L233" s="19"/>
      <c r="M233" s="14"/>
      <c r="N233" s="2"/>
      <c r="O233" s="14"/>
      <c r="P233" s="55" t="s">
        <v>2863</v>
      </c>
      <c r="Q233" s="14"/>
      <c r="R233" s="2"/>
      <c r="S233" s="14"/>
      <c r="T233" s="2"/>
      <c r="U233" s="1"/>
      <c r="V233" s="62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</row>
    <row r="234" spans="1:67" hidden="1" outlineLevel="1" x14ac:dyDescent="0.25">
      <c r="A234" t="s">
        <v>2792</v>
      </c>
      <c r="E234" s="7"/>
      <c r="F234" s="10"/>
      <c r="G234" s="14"/>
      <c r="H234" s="2"/>
      <c r="I234" s="54" t="s">
        <v>2785</v>
      </c>
      <c r="J234" s="14">
        <v>-110733</v>
      </c>
      <c r="K234" s="2"/>
      <c r="L234" s="19"/>
      <c r="M234" s="14"/>
      <c r="N234" s="2"/>
      <c r="O234" s="14"/>
      <c r="P234" s="55" t="s">
        <v>2863</v>
      </c>
      <c r="Q234" s="14"/>
      <c r="R234" s="2"/>
      <c r="S234" s="14"/>
      <c r="T234" s="2"/>
      <c r="U234" s="1"/>
      <c r="V234" s="62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</row>
    <row r="235" spans="1:67" hidden="1" x14ac:dyDescent="0.25">
      <c r="A235" t="s">
        <v>603</v>
      </c>
      <c r="E235" s="42" t="s">
        <v>604</v>
      </c>
      <c r="F235" s="43" t="s">
        <v>605</v>
      </c>
      <c r="G235" s="14">
        <v>0</v>
      </c>
      <c r="H235" s="2"/>
      <c r="I235" s="19"/>
      <c r="J235" s="14">
        <v>0</v>
      </c>
      <c r="K235" s="2"/>
      <c r="L235" s="19"/>
      <c r="M235" s="14">
        <v>0</v>
      </c>
      <c r="N235" s="2"/>
      <c r="O235" s="14">
        <v>0</v>
      </c>
      <c r="P235" s="55" t="s">
        <v>2863</v>
      </c>
      <c r="Q235" s="14">
        <v>0</v>
      </c>
      <c r="R235" s="2"/>
      <c r="S235" s="44">
        <f>[1]!DDIFF(0,0)</f>
        <v>0</v>
      </c>
      <c r="T235" s="2"/>
      <c r="U235" s="1"/>
      <c r="V235" s="62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</row>
    <row r="236" spans="1:67" hidden="1" x14ac:dyDescent="0.25">
      <c r="A236" t="s">
        <v>606</v>
      </c>
      <c r="E236" s="42" t="s">
        <v>607</v>
      </c>
      <c r="F236" s="43" t="s">
        <v>608</v>
      </c>
      <c r="G236" s="14">
        <v>0</v>
      </c>
      <c r="H236" s="2"/>
      <c r="I236" s="19"/>
      <c r="J236" s="14">
        <v>0</v>
      </c>
      <c r="K236" s="2"/>
      <c r="L236" s="19"/>
      <c r="M236" s="14">
        <v>0</v>
      </c>
      <c r="N236" s="2"/>
      <c r="O236" s="14">
        <v>0</v>
      </c>
      <c r="P236" s="55" t="s">
        <v>2863</v>
      </c>
      <c r="Q236" s="14">
        <v>0</v>
      </c>
      <c r="R236" s="2"/>
      <c r="S236" s="44">
        <f>[1]!DDIFF(0,0)</f>
        <v>0</v>
      </c>
      <c r="T236" s="2"/>
      <c r="U236" s="1"/>
      <c r="V236" s="62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</row>
    <row r="237" spans="1:67" hidden="1" x14ac:dyDescent="0.25">
      <c r="A237" t="s">
        <v>609</v>
      </c>
      <c r="E237" s="42" t="s">
        <v>610</v>
      </c>
      <c r="F237" s="43" t="s">
        <v>611</v>
      </c>
      <c r="G237" s="14">
        <v>0</v>
      </c>
      <c r="H237" s="2"/>
      <c r="I237" s="19"/>
      <c r="J237" s="14">
        <v>0</v>
      </c>
      <c r="K237" s="2"/>
      <c r="L237" s="19"/>
      <c r="M237" s="14">
        <v>0</v>
      </c>
      <c r="N237" s="2"/>
      <c r="O237" s="14">
        <v>0</v>
      </c>
      <c r="P237" s="55" t="s">
        <v>2863</v>
      </c>
      <c r="Q237" s="14">
        <v>0</v>
      </c>
      <c r="R237" s="2"/>
      <c r="S237" s="44">
        <f>[1]!DDIFF(0,0)</f>
        <v>0</v>
      </c>
      <c r="T237" s="2"/>
      <c r="U237" s="1"/>
      <c r="V237" s="62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</row>
    <row r="238" spans="1:67" hidden="1" x14ac:dyDescent="0.25">
      <c r="A238" t="s">
        <v>612</v>
      </c>
      <c r="E238" s="42" t="s">
        <v>613</v>
      </c>
      <c r="F238" s="43" t="s">
        <v>614</v>
      </c>
      <c r="G238" s="14">
        <v>0</v>
      </c>
      <c r="H238" s="2"/>
      <c r="I238" s="19"/>
      <c r="J238" s="14">
        <v>0</v>
      </c>
      <c r="K238" s="2"/>
      <c r="L238" s="19"/>
      <c r="M238" s="14">
        <v>0</v>
      </c>
      <c r="N238" s="2"/>
      <c r="O238" s="14">
        <v>0</v>
      </c>
      <c r="P238" s="55" t="s">
        <v>2863</v>
      </c>
      <c r="Q238" s="14">
        <v>0</v>
      </c>
      <c r="R238" s="2"/>
      <c r="S238" s="44">
        <f>[1]!DDIFF(0,0)</f>
        <v>0</v>
      </c>
      <c r="T238" s="2"/>
      <c r="U238" s="1"/>
      <c r="V238" s="62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</row>
    <row r="239" spans="1:67" hidden="1" x14ac:dyDescent="0.25">
      <c r="A239" t="s">
        <v>615</v>
      </c>
      <c r="E239" s="42" t="s">
        <v>616</v>
      </c>
      <c r="F239" s="43" t="s">
        <v>617</v>
      </c>
      <c r="G239" s="14">
        <v>0</v>
      </c>
      <c r="H239" s="2"/>
      <c r="I239" s="19"/>
      <c r="J239" s="14">
        <v>0</v>
      </c>
      <c r="K239" s="2"/>
      <c r="L239" s="19"/>
      <c r="M239" s="14">
        <v>0</v>
      </c>
      <c r="N239" s="2"/>
      <c r="O239" s="14">
        <v>0</v>
      </c>
      <c r="P239" s="55" t="s">
        <v>2863</v>
      </c>
      <c r="Q239" s="14">
        <v>0</v>
      </c>
      <c r="R239" s="2"/>
      <c r="S239" s="44">
        <f>[1]!DDIFF(0,0)</f>
        <v>0</v>
      </c>
      <c r="T239" s="2"/>
      <c r="U239" s="1"/>
      <c r="V239" s="62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</row>
    <row r="240" spans="1:67" x14ac:dyDescent="0.25">
      <c r="A240" t="s">
        <v>618</v>
      </c>
      <c r="E240" s="42" t="s">
        <v>619</v>
      </c>
      <c r="F240" s="43" t="s">
        <v>620</v>
      </c>
      <c r="G240" s="14">
        <v>767968</v>
      </c>
      <c r="H240" s="2"/>
      <c r="I240" s="19"/>
      <c r="J240" s="14">
        <v>0</v>
      </c>
      <c r="K240" s="2"/>
      <c r="L240" s="19"/>
      <c r="M240" s="14">
        <v>0</v>
      </c>
      <c r="N240" s="2"/>
      <c r="O240" s="14">
        <v>767968</v>
      </c>
      <c r="P240" s="55" t="s">
        <v>2863</v>
      </c>
      <c r="Q240" s="14">
        <v>767968</v>
      </c>
      <c r="R240" s="2"/>
      <c r="S240" s="44">
        <f>[1]!DDIFF(767968,767968)</f>
        <v>0</v>
      </c>
      <c r="T240" s="2"/>
      <c r="U240" s="1"/>
      <c r="V240" s="62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</row>
    <row r="241" spans="1:67" x14ac:dyDescent="0.25">
      <c r="A241" t="s">
        <v>621</v>
      </c>
      <c r="E241" s="42" t="s">
        <v>622</v>
      </c>
      <c r="F241" s="43" t="s">
        <v>623</v>
      </c>
      <c r="G241" s="14">
        <v>12961412</v>
      </c>
      <c r="H241" s="2"/>
      <c r="I241" s="19"/>
      <c r="J241" s="14">
        <v>0</v>
      </c>
      <c r="K241" s="2"/>
      <c r="L241" s="19"/>
      <c r="M241" s="14">
        <v>0</v>
      </c>
      <c r="N241" s="2"/>
      <c r="O241" s="14">
        <v>12961412</v>
      </c>
      <c r="P241" s="55" t="s">
        <v>2863</v>
      </c>
      <c r="Q241" s="14">
        <v>12454578</v>
      </c>
      <c r="R241" s="2"/>
      <c r="S241" s="44">
        <f>[1]!DDIFF(12454578,12961412)</f>
        <v>506834</v>
      </c>
      <c r="T241" s="2"/>
      <c r="U241" s="1"/>
      <c r="V241" s="62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</row>
    <row r="242" spans="1:67" x14ac:dyDescent="0.25">
      <c r="A242" t="s">
        <v>624</v>
      </c>
      <c r="E242" s="42" t="s">
        <v>625</v>
      </c>
      <c r="F242" s="43" t="s">
        <v>626</v>
      </c>
      <c r="G242" s="14">
        <v>860491</v>
      </c>
      <c r="H242" s="2"/>
      <c r="I242" s="19"/>
      <c r="J242" s="14">
        <v>0</v>
      </c>
      <c r="K242" s="2"/>
      <c r="L242" s="19"/>
      <c r="M242" s="14">
        <v>0</v>
      </c>
      <c r="N242" s="2"/>
      <c r="O242" s="14">
        <v>860491</v>
      </c>
      <c r="P242" s="55" t="s">
        <v>2863</v>
      </c>
      <c r="Q242" s="14">
        <v>860491</v>
      </c>
      <c r="R242" s="2"/>
      <c r="S242" s="44">
        <f>[1]!DDIFF(860491,860491)</f>
        <v>0</v>
      </c>
      <c r="T242" s="2"/>
      <c r="U242" s="1"/>
      <c r="V242" s="62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</row>
    <row r="243" spans="1:67" collapsed="1" x14ac:dyDescent="0.25">
      <c r="A243" t="s">
        <v>627</v>
      </c>
      <c r="E243" s="42" t="s">
        <v>628</v>
      </c>
      <c r="F243" s="43" t="s">
        <v>629</v>
      </c>
      <c r="G243" s="14">
        <v>26010056</v>
      </c>
      <c r="H243" s="2"/>
      <c r="I243" s="19"/>
      <c r="J243" s="14">
        <v>-27885</v>
      </c>
      <c r="K243" s="2"/>
      <c r="L243" s="19"/>
      <c r="M243" s="14">
        <v>0</v>
      </c>
      <c r="N243" s="2"/>
      <c r="O243" s="14">
        <v>25982171</v>
      </c>
      <c r="P243" s="55" t="s">
        <v>2863</v>
      </c>
      <c r="Q243" s="14">
        <v>25086638</v>
      </c>
      <c r="R243" s="2"/>
      <c r="S243" s="44">
        <f>[1]!DDIFF(25086638,25982171)</f>
        <v>895533</v>
      </c>
      <c r="T243" s="2"/>
      <c r="U243" s="1"/>
      <c r="V243" s="62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</row>
    <row r="244" spans="1:67" hidden="1" outlineLevel="1" x14ac:dyDescent="0.25">
      <c r="A244" t="s">
        <v>2702</v>
      </c>
      <c r="E244" s="7"/>
      <c r="F244" s="10"/>
      <c r="G244" s="14"/>
      <c r="H244" s="2"/>
      <c r="I244" s="54" t="s">
        <v>2701</v>
      </c>
      <c r="J244" s="14">
        <v>-27885</v>
      </c>
      <c r="K244" s="2"/>
      <c r="L244" s="19"/>
      <c r="M244" s="14"/>
      <c r="N244" s="2"/>
      <c r="O244" s="14"/>
      <c r="P244" s="55" t="s">
        <v>2863</v>
      </c>
      <c r="Q244" s="14"/>
      <c r="R244" s="2"/>
      <c r="S244" s="14"/>
      <c r="T244" s="2"/>
      <c r="U244" s="1"/>
      <c r="V244" s="62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</row>
    <row r="245" spans="1:67" collapsed="1" x14ac:dyDescent="0.25">
      <c r="A245" t="s">
        <v>630</v>
      </c>
      <c r="E245" s="42" t="s">
        <v>631</v>
      </c>
      <c r="F245" s="43" t="s">
        <v>632</v>
      </c>
      <c r="G245" s="14">
        <v>2623077</v>
      </c>
      <c r="H245" s="2"/>
      <c r="I245" s="19"/>
      <c r="J245" s="14">
        <v>0</v>
      </c>
      <c r="K245" s="2"/>
      <c r="L245" s="19"/>
      <c r="M245" s="14">
        <v>-1540617</v>
      </c>
      <c r="N245" s="2"/>
      <c r="O245" s="14">
        <v>1082460</v>
      </c>
      <c r="P245" s="55" t="s">
        <v>2863</v>
      </c>
      <c r="Q245" s="14">
        <v>1082460</v>
      </c>
      <c r="R245" s="2"/>
      <c r="S245" s="44">
        <f>[1]!DDIFF(1082460,1082460)</f>
        <v>0</v>
      </c>
      <c r="T245" s="2"/>
      <c r="U245" s="1"/>
      <c r="V245" s="62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</row>
    <row r="246" spans="1:67" hidden="1" outlineLevel="1" x14ac:dyDescent="0.25">
      <c r="A246" t="s">
        <v>2666</v>
      </c>
      <c r="E246" s="7"/>
      <c r="F246" s="10"/>
      <c r="G246" s="14"/>
      <c r="H246" s="2"/>
      <c r="I246" s="19"/>
      <c r="J246" s="14"/>
      <c r="K246" s="2"/>
      <c r="L246" s="54" t="s">
        <v>2697</v>
      </c>
      <c r="M246" s="14">
        <v>-1540617</v>
      </c>
      <c r="N246" s="2"/>
      <c r="O246" s="14"/>
      <c r="P246" s="55" t="s">
        <v>2863</v>
      </c>
      <c r="Q246" s="14"/>
      <c r="R246" s="2"/>
      <c r="S246" s="14"/>
      <c r="T246" s="2"/>
      <c r="U246" s="1"/>
      <c r="V246" s="62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</row>
    <row r="247" spans="1:67" x14ac:dyDescent="0.25">
      <c r="A247" t="s">
        <v>633</v>
      </c>
      <c r="E247" s="42" t="s">
        <v>634</v>
      </c>
      <c r="F247" s="43" t="s">
        <v>635</v>
      </c>
      <c r="G247" s="14">
        <v>2398650</v>
      </c>
      <c r="H247" s="2"/>
      <c r="I247" s="19"/>
      <c r="J247" s="14">
        <v>0</v>
      </c>
      <c r="K247" s="2"/>
      <c r="L247" s="19"/>
      <c r="M247" s="14">
        <v>0</v>
      </c>
      <c r="N247" s="2"/>
      <c r="O247" s="14">
        <v>2398650</v>
      </c>
      <c r="P247" s="55" t="s">
        <v>2863</v>
      </c>
      <c r="Q247" s="14">
        <v>2398650</v>
      </c>
      <c r="R247" s="2"/>
      <c r="S247" s="44">
        <f>[1]!DDIFF(2398650,2398650)</f>
        <v>0</v>
      </c>
      <c r="T247" s="2"/>
      <c r="U247" s="1"/>
      <c r="V247" s="62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</row>
    <row r="248" spans="1:67" hidden="1" x14ac:dyDescent="0.25">
      <c r="A248" t="s">
        <v>636</v>
      </c>
      <c r="E248" s="42" t="s">
        <v>637</v>
      </c>
      <c r="F248" s="43" t="s">
        <v>638</v>
      </c>
      <c r="G248" s="14">
        <v>0</v>
      </c>
      <c r="H248" s="2"/>
      <c r="I248" s="19"/>
      <c r="J248" s="14">
        <v>0</v>
      </c>
      <c r="K248" s="2"/>
      <c r="L248" s="19"/>
      <c r="M248" s="14">
        <v>0</v>
      </c>
      <c r="N248" s="2"/>
      <c r="O248" s="14">
        <v>0</v>
      </c>
      <c r="P248" s="55" t="s">
        <v>2863</v>
      </c>
      <c r="Q248" s="14">
        <v>0</v>
      </c>
      <c r="R248" s="2"/>
      <c r="S248" s="44">
        <f>[1]!DDIFF(0,0)</f>
        <v>0</v>
      </c>
      <c r="T248" s="2"/>
      <c r="U248" s="1"/>
      <c r="V248" s="62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</row>
    <row r="249" spans="1:67" x14ac:dyDescent="0.25">
      <c r="A249" t="s">
        <v>639</v>
      </c>
      <c r="E249" s="42" t="s">
        <v>640</v>
      </c>
      <c r="F249" s="43" t="s">
        <v>641</v>
      </c>
      <c r="G249" s="14">
        <v>8220837</v>
      </c>
      <c r="H249" s="2"/>
      <c r="I249" s="19"/>
      <c r="J249" s="14">
        <v>0</v>
      </c>
      <c r="K249" s="2"/>
      <c r="L249" s="19"/>
      <c r="M249" s="14">
        <v>0</v>
      </c>
      <c r="N249" s="2"/>
      <c r="O249" s="14">
        <v>8220837</v>
      </c>
      <c r="P249" s="55" t="s">
        <v>2863</v>
      </c>
      <c r="Q249" s="14">
        <v>8220837</v>
      </c>
      <c r="R249" s="2"/>
      <c r="S249" s="44">
        <f>[1]!DDIFF(8220837,8220837)</f>
        <v>0</v>
      </c>
      <c r="T249" s="2"/>
      <c r="U249" s="1"/>
      <c r="V249" s="62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</row>
    <row r="250" spans="1:67" x14ac:dyDescent="0.25">
      <c r="A250" t="s">
        <v>642</v>
      </c>
      <c r="E250" s="42" t="s">
        <v>643</v>
      </c>
      <c r="F250" s="43" t="s">
        <v>644</v>
      </c>
      <c r="G250" s="14">
        <v>4803001</v>
      </c>
      <c r="H250" s="2"/>
      <c r="I250" s="19"/>
      <c r="J250" s="14">
        <v>0</v>
      </c>
      <c r="K250" s="2"/>
      <c r="L250" s="19"/>
      <c r="M250" s="14">
        <v>0</v>
      </c>
      <c r="N250" s="2"/>
      <c r="O250" s="14">
        <v>4803001</v>
      </c>
      <c r="P250" s="55" t="s">
        <v>2863</v>
      </c>
      <c r="Q250" s="14">
        <v>4803001</v>
      </c>
      <c r="R250" s="2"/>
      <c r="S250" s="44">
        <f>[1]!DDIFF(4803001,4803001)</f>
        <v>0</v>
      </c>
      <c r="T250" s="2"/>
      <c r="U250" s="1"/>
      <c r="V250" s="62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</row>
    <row r="251" spans="1:67" x14ac:dyDescent="0.25">
      <c r="A251" t="s">
        <v>645</v>
      </c>
      <c r="E251" s="42" t="s">
        <v>646</v>
      </c>
      <c r="F251" s="43" t="s">
        <v>647</v>
      </c>
      <c r="G251" s="14">
        <v>1355695</v>
      </c>
      <c r="H251" s="2"/>
      <c r="I251" s="19"/>
      <c r="J251" s="14">
        <v>0</v>
      </c>
      <c r="K251" s="2"/>
      <c r="L251" s="19"/>
      <c r="M251" s="14">
        <v>0</v>
      </c>
      <c r="N251" s="2"/>
      <c r="O251" s="14">
        <v>1355695</v>
      </c>
      <c r="P251" s="55" t="s">
        <v>2863</v>
      </c>
      <c r="Q251" s="14">
        <v>1355695</v>
      </c>
      <c r="R251" s="2"/>
      <c r="S251" s="44">
        <f>[1]!DDIFF(1355695,1355695)</f>
        <v>0</v>
      </c>
      <c r="T251" s="2"/>
      <c r="U251" s="1"/>
      <c r="V251" s="62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</row>
    <row r="252" spans="1:67" x14ac:dyDescent="0.25">
      <c r="A252" t="s">
        <v>648</v>
      </c>
      <c r="E252" s="42" t="s">
        <v>649</v>
      </c>
      <c r="F252" s="43" t="s">
        <v>650</v>
      </c>
      <c r="G252" s="14">
        <v>1660402</v>
      </c>
      <c r="H252" s="2"/>
      <c r="I252" s="19"/>
      <c r="J252" s="14">
        <v>0</v>
      </c>
      <c r="K252" s="2"/>
      <c r="L252" s="19"/>
      <c r="M252" s="14">
        <v>0</v>
      </c>
      <c r="N252" s="2"/>
      <c r="O252" s="14">
        <v>1660402</v>
      </c>
      <c r="P252" s="55" t="s">
        <v>2863</v>
      </c>
      <c r="Q252" s="14">
        <v>1660402</v>
      </c>
      <c r="R252" s="2"/>
      <c r="S252" s="44">
        <f>[1]!DDIFF(1660402,1660402)</f>
        <v>0</v>
      </c>
      <c r="T252" s="2"/>
      <c r="U252" s="1"/>
      <c r="V252" s="62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</row>
    <row r="253" spans="1:67" x14ac:dyDescent="0.25">
      <c r="A253" t="s">
        <v>651</v>
      </c>
      <c r="E253" s="42" t="s">
        <v>652</v>
      </c>
      <c r="F253" s="43" t="s">
        <v>653</v>
      </c>
      <c r="G253" s="14">
        <v>2307111</v>
      </c>
      <c r="H253" s="2"/>
      <c r="I253" s="19"/>
      <c r="J253" s="14">
        <v>0</v>
      </c>
      <c r="K253" s="2"/>
      <c r="L253" s="19"/>
      <c r="M253" s="14">
        <v>0</v>
      </c>
      <c r="N253" s="2"/>
      <c r="O253" s="14">
        <v>2307111</v>
      </c>
      <c r="P253" s="55" t="s">
        <v>2863</v>
      </c>
      <c r="Q253" s="14">
        <v>2307111</v>
      </c>
      <c r="R253" s="2"/>
      <c r="S253" s="44">
        <f>[1]!DDIFF(2307111,2307111)</f>
        <v>0</v>
      </c>
      <c r="T253" s="2"/>
      <c r="U253" s="1"/>
      <c r="V253" s="62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</row>
    <row r="254" spans="1:67" x14ac:dyDescent="0.25">
      <c r="A254" t="s">
        <v>654</v>
      </c>
      <c r="E254" s="42" t="s">
        <v>655</v>
      </c>
      <c r="F254" s="43" t="s">
        <v>656</v>
      </c>
      <c r="G254" s="14">
        <v>811701</v>
      </c>
      <c r="H254" s="2"/>
      <c r="I254" s="19"/>
      <c r="J254" s="14">
        <v>0</v>
      </c>
      <c r="K254" s="2"/>
      <c r="L254" s="19"/>
      <c r="M254" s="14">
        <v>0</v>
      </c>
      <c r="N254" s="2"/>
      <c r="O254" s="14">
        <v>811701</v>
      </c>
      <c r="P254" s="55" t="s">
        <v>2863</v>
      </c>
      <c r="Q254" s="14">
        <v>746549</v>
      </c>
      <c r="R254" s="2"/>
      <c r="S254" s="44">
        <f>[1]!DDIFF(746549,811701)</f>
        <v>65152</v>
      </c>
      <c r="T254" s="2"/>
      <c r="U254" s="1"/>
      <c r="V254" s="62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</row>
    <row r="255" spans="1:67" x14ac:dyDescent="0.25">
      <c r="A255" t="s">
        <v>657</v>
      </c>
      <c r="E255" s="42" t="s">
        <v>658</v>
      </c>
      <c r="F255" s="43" t="s">
        <v>659</v>
      </c>
      <c r="G255" s="14">
        <v>345156</v>
      </c>
      <c r="H255" s="2"/>
      <c r="I255" s="19"/>
      <c r="J255" s="14">
        <v>0</v>
      </c>
      <c r="K255" s="2"/>
      <c r="L255" s="19"/>
      <c r="M255" s="14">
        <v>0</v>
      </c>
      <c r="N255" s="2"/>
      <c r="O255" s="14">
        <v>345156</v>
      </c>
      <c r="P255" s="55" t="s">
        <v>2863</v>
      </c>
      <c r="Q255" s="14">
        <v>345156</v>
      </c>
      <c r="R255" s="2"/>
      <c r="S255" s="44">
        <f>[1]!DDIFF(345156,345156)</f>
        <v>0</v>
      </c>
      <c r="T255" s="2"/>
      <c r="U255" s="1"/>
      <c r="V255" s="62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</row>
    <row r="256" spans="1:67" x14ac:dyDescent="0.25">
      <c r="A256" t="s">
        <v>660</v>
      </c>
      <c r="E256" s="42" t="s">
        <v>661</v>
      </c>
      <c r="F256" s="43" t="s">
        <v>662</v>
      </c>
      <c r="G256" s="14">
        <v>4143194</v>
      </c>
      <c r="H256" s="2"/>
      <c r="I256" s="19"/>
      <c r="J256" s="14">
        <v>0</v>
      </c>
      <c r="K256" s="2"/>
      <c r="L256" s="19"/>
      <c r="M256" s="14">
        <v>0</v>
      </c>
      <c r="N256" s="2"/>
      <c r="O256" s="14">
        <v>4143194</v>
      </c>
      <c r="P256" s="55" t="s">
        <v>2863</v>
      </c>
      <c r="Q256" s="14">
        <v>4143194</v>
      </c>
      <c r="R256" s="2"/>
      <c r="S256" s="44">
        <f>[1]!DDIFF(4143194,4143194)</f>
        <v>0</v>
      </c>
      <c r="T256" s="2"/>
      <c r="U256" s="1"/>
      <c r="V256" s="62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</row>
    <row r="257" spans="1:67" x14ac:dyDescent="0.25">
      <c r="A257" t="s">
        <v>663</v>
      </c>
      <c r="E257" s="42" t="s">
        <v>664</v>
      </c>
      <c r="F257" s="43" t="s">
        <v>665</v>
      </c>
      <c r="G257" s="14">
        <v>2035483</v>
      </c>
      <c r="H257" s="2"/>
      <c r="I257" s="19"/>
      <c r="J257" s="14">
        <v>0</v>
      </c>
      <c r="K257" s="2"/>
      <c r="L257" s="19"/>
      <c r="M257" s="14">
        <v>0</v>
      </c>
      <c r="N257" s="2"/>
      <c r="O257" s="14">
        <v>2035483</v>
      </c>
      <c r="P257" s="55" t="s">
        <v>2863</v>
      </c>
      <c r="Q257" s="14">
        <v>2035483</v>
      </c>
      <c r="R257" s="2"/>
      <c r="S257" s="44">
        <f>[1]!DDIFF(2035483,2035483)</f>
        <v>0</v>
      </c>
      <c r="T257" s="2"/>
      <c r="U257" s="1"/>
      <c r="V257" s="62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</row>
    <row r="258" spans="1:67" hidden="1" x14ac:dyDescent="0.25">
      <c r="A258" t="s">
        <v>666</v>
      </c>
      <c r="E258" s="42" t="s">
        <v>667</v>
      </c>
      <c r="F258" s="43" t="s">
        <v>668</v>
      </c>
      <c r="G258" s="14">
        <v>0</v>
      </c>
      <c r="H258" s="2"/>
      <c r="I258" s="19"/>
      <c r="J258" s="14">
        <v>0</v>
      </c>
      <c r="K258" s="2"/>
      <c r="L258" s="19"/>
      <c r="M258" s="14">
        <v>0</v>
      </c>
      <c r="N258" s="2"/>
      <c r="O258" s="14">
        <v>0</v>
      </c>
      <c r="P258" s="55" t="s">
        <v>2863</v>
      </c>
      <c r="Q258" s="14">
        <v>0</v>
      </c>
      <c r="R258" s="2"/>
      <c r="S258" s="44">
        <f>[1]!DDIFF(0,0)</f>
        <v>0</v>
      </c>
      <c r="T258" s="2"/>
      <c r="U258" s="1"/>
      <c r="V258" s="62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</row>
    <row r="259" spans="1:67" x14ac:dyDescent="0.25">
      <c r="A259" t="s">
        <v>669</v>
      </c>
      <c r="E259" s="42" t="s">
        <v>670</v>
      </c>
      <c r="F259" s="43" t="s">
        <v>671</v>
      </c>
      <c r="G259" s="14">
        <v>6406059</v>
      </c>
      <c r="H259" s="2"/>
      <c r="I259" s="19"/>
      <c r="J259" s="14">
        <v>0</v>
      </c>
      <c r="K259" s="2"/>
      <c r="L259" s="19"/>
      <c r="M259" s="14">
        <v>0</v>
      </c>
      <c r="N259" s="2"/>
      <c r="O259" s="14">
        <v>6406059</v>
      </c>
      <c r="P259" s="55" t="s">
        <v>2863</v>
      </c>
      <c r="Q259" s="14">
        <v>6406059</v>
      </c>
      <c r="R259" s="2"/>
      <c r="S259" s="44">
        <f>[1]!DDIFF(6406059,6406059)</f>
        <v>0</v>
      </c>
      <c r="T259" s="2"/>
      <c r="U259" s="1"/>
      <c r="V259" s="62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</row>
    <row r="260" spans="1:67" collapsed="1" x14ac:dyDescent="0.25">
      <c r="A260" t="s">
        <v>672</v>
      </c>
      <c r="E260" s="42" t="s">
        <v>673</v>
      </c>
      <c r="F260" s="43" t="s">
        <v>674</v>
      </c>
      <c r="G260" s="14">
        <v>3068480</v>
      </c>
      <c r="H260" s="2"/>
      <c r="I260" s="19"/>
      <c r="J260" s="14">
        <v>0</v>
      </c>
      <c r="K260" s="2"/>
      <c r="L260" s="19"/>
      <c r="M260" s="14">
        <v>-3068480</v>
      </c>
      <c r="N260" s="2"/>
      <c r="O260" s="14">
        <v>0</v>
      </c>
      <c r="P260" s="55" t="s">
        <v>2863</v>
      </c>
      <c r="Q260" s="14">
        <v>0</v>
      </c>
      <c r="R260" s="2"/>
      <c r="S260" s="44">
        <f>[1]!DDIFF(0,0)</f>
        <v>0</v>
      </c>
      <c r="T260" s="2"/>
      <c r="U260" s="1"/>
      <c r="V260" s="62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</row>
    <row r="261" spans="1:67" hidden="1" outlineLevel="1" x14ac:dyDescent="0.25">
      <c r="A261" t="s">
        <v>2684</v>
      </c>
      <c r="E261" s="7"/>
      <c r="F261" s="10"/>
      <c r="G261" s="14"/>
      <c r="H261" s="2"/>
      <c r="I261" s="19"/>
      <c r="J261" s="14"/>
      <c r="K261" s="2"/>
      <c r="L261" s="54" t="s">
        <v>2697</v>
      </c>
      <c r="M261" s="14">
        <v>-3068480</v>
      </c>
      <c r="N261" s="2"/>
      <c r="O261" s="14"/>
      <c r="P261" s="55" t="s">
        <v>2863</v>
      </c>
      <c r="Q261" s="14"/>
      <c r="R261" s="2"/>
      <c r="S261" s="14"/>
      <c r="T261" s="2"/>
      <c r="U261" s="1"/>
      <c r="V261" s="62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</row>
    <row r="262" spans="1:67" collapsed="1" x14ac:dyDescent="0.25">
      <c r="A262" t="s">
        <v>2667</v>
      </c>
      <c r="E262" s="42" t="s">
        <v>2668</v>
      </c>
      <c r="F262" s="43" t="s">
        <v>2669</v>
      </c>
      <c r="G262" s="14">
        <v>241002</v>
      </c>
      <c r="H262" s="2"/>
      <c r="I262" s="19"/>
      <c r="J262" s="14">
        <v>2282486</v>
      </c>
      <c r="K262" s="2"/>
      <c r="L262" s="19"/>
      <c r="M262" s="14">
        <v>4609097</v>
      </c>
      <c r="N262" s="2"/>
      <c r="O262" s="14">
        <v>7132585</v>
      </c>
      <c r="P262" s="55" t="s">
        <v>2863</v>
      </c>
      <c r="Q262" s="14">
        <v>3893888</v>
      </c>
      <c r="R262" s="2"/>
      <c r="S262" s="44">
        <f>[1]!DDIFF(3893888,7132585)</f>
        <v>3238697</v>
      </c>
      <c r="T262" s="2"/>
      <c r="U262" s="1"/>
      <c r="V262" s="62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</row>
    <row r="263" spans="1:67" hidden="1" outlineLevel="1" x14ac:dyDescent="0.25">
      <c r="A263" t="s">
        <v>2670</v>
      </c>
      <c r="E263" s="7"/>
      <c r="F263" s="10"/>
      <c r="G263" s="14"/>
      <c r="H263" s="2"/>
      <c r="I263" s="54" t="s">
        <v>2701</v>
      </c>
      <c r="J263" s="14">
        <v>-2874</v>
      </c>
      <c r="K263" s="2"/>
      <c r="L263" s="54" t="s">
        <v>2697</v>
      </c>
      <c r="M263" s="14">
        <v>4609097</v>
      </c>
      <c r="N263" s="2"/>
      <c r="O263" s="14"/>
      <c r="P263" s="55" t="s">
        <v>2863</v>
      </c>
      <c r="Q263" s="14"/>
      <c r="R263" s="2"/>
      <c r="S263" s="14"/>
      <c r="T263" s="2"/>
      <c r="U263" s="1"/>
      <c r="V263" s="62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</row>
    <row r="264" spans="1:67" hidden="1" outlineLevel="1" x14ac:dyDescent="0.25">
      <c r="A264" t="s">
        <v>2738</v>
      </c>
      <c r="E264" s="7"/>
      <c r="F264" s="10"/>
      <c r="G264" s="14"/>
      <c r="H264" s="2"/>
      <c r="I264" s="54" t="s">
        <v>2736</v>
      </c>
      <c r="J264" s="14">
        <v>2164412</v>
      </c>
      <c r="K264" s="2"/>
      <c r="L264" s="19"/>
      <c r="M264" s="14"/>
      <c r="N264" s="2"/>
      <c r="O264" s="14"/>
      <c r="P264" s="55" t="s">
        <v>2863</v>
      </c>
      <c r="Q264" s="14"/>
      <c r="R264" s="2"/>
      <c r="S264" s="14"/>
      <c r="T264" s="2"/>
      <c r="U264" s="1"/>
      <c r="V264" s="62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</row>
    <row r="265" spans="1:67" hidden="1" outlineLevel="1" x14ac:dyDescent="0.25">
      <c r="A265" t="s">
        <v>2806</v>
      </c>
      <c r="E265" s="7"/>
      <c r="F265" s="10"/>
      <c r="G265" s="14"/>
      <c r="H265" s="2"/>
      <c r="I265" s="54" t="s">
        <v>2807</v>
      </c>
      <c r="J265" s="14">
        <v>120948</v>
      </c>
      <c r="K265" s="2"/>
      <c r="L265" s="19"/>
      <c r="M265" s="14"/>
      <c r="N265" s="2"/>
      <c r="O265" s="14"/>
      <c r="P265" s="55" t="s">
        <v>2863</v>
      </c>
      <c r="Q265" s="14"/>
      <c r="R265" s="2"/>
      <c r="S265" s="14"/>
      <c r="T265" s="2"/>
      <c r="U265" s="1"/>
      <c r="V265" s="62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</row>
    <row r="266" spans="1:67" hidden="1" x14ac:dyDescent="0.25">
      <c r="A266" t="s">
        <v>675</v>
      </c>
      <c r="E266" s="42" t="s">
        <v>676</v>
      </c>
      <c r="F266" s="43" t="s">
        <v>677</v>
      </c>
      <c r="G266" s="14">
        <v>0</v>
      </c>
      <c r="H266" s="2"/>
      <c r="I266" s="19"/>
      <c r="J266" s="14">
        <v>0</v>
      </c>
      <c r="K266" s="2"/>
      <c r="L266" s="19"/>
      <c r="M266" s="14">
        <v>0</v>
      </c>
      <c r="N266" s="2"/>
      <c r="O266" s="14">
        <v>0</v>
      </c>
      <c r="P266" s="55" t="s">
        <v>2863</v>
      </c>
      <c r="Q266" s="14">
        <v>0</v>
      </c>
      <c r="R266" s="2"/>
      <c r="S266" s="44">
        <f>[1]!DDIFF(0,0)</f>
        <v>0</v>
      </c>
      <c r="T266" s="2"/>
      <c r="U266" s="1"/>
      <c r="V266" s="62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</row>
    <row r="267" spans="1:67" x14ac:dyDescent="0.25">
      <c r="A267" t="s">
        <v>678</v>
      </c>
      <c r="E267" s="42" t="s">
        <v>679</v>
      </c>
      <c r="F267" s="43" t="s">
        <v>680</v>
      </c>
      <c r="G267" s="14">
        <v>968248</v>
      </c>
      <c r="H267" s="2"/>
      <c r="I267" s="19"/>
      <c r="J267" s="14">
        <v>0</v>
      </c>
      <c r="K267" s="2"/>
      <c r="L267" s="19"/>
      <c r="M267" s="14">
        <v>0</v>
      </c>
      <c r="N267" s="2"/>
      <c r="O267" s="14">
        <v>968248</v>
      </c>
      <c r="P267" s="55" t="s">
        <v>2863</v>
      </c>
      <c r="Q267" s="14">
        <v>968248</v>
      </c>
      <c r="R267" s="2"/>
      <c r="S267" s="44">
        <f>[1]!DDIFF(968248,968248)</f>
        <v>0</v>
      </c>
      <c r="T267" s="2"/>
      <c r="U267" s="1"/>
      <c r="V267" s="62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</row>
    <row r="268" spans="1:67" x14ac:dyDescent="0.25">
      <c r="A268" t="s">
        <v>681</v>
      </c>
      <c r="E268" s="42" t="s">
        <v>682</v>
      </c>
      <c r="F268" s="43" t="s">
        <v>683</v>
      </c>
      <c r="G268" s="14">
        <v>485350</v>
      </c>
      <c r="H268" s="2"/>
      <c r="I268" s="19"/>
      <c r="J268" s="14">
        <v>0</v>
      </c>
      <c r="K268" s="2"/>
      <c r="L268" s="19"/>
      <c r="M268" s="14">
        <v>0</v>
      </c>
      <c r="N268" s="2"/>
      <c r="O268" s="14">
        <v>485350</v>
      </c>
      <c r="P268" s="55" t="s">
        <v>2863</v>
      </c>
      <c r="Q268" s="14">
        <v>485350</v>
      </c>
      <c r="R268" s="2"/>
      <c r="S268" s="44">
        <f>[1]!DDIFF(485350,485350)</f>
        <v>0</v>
      </c>
      <c r="T268" s="2"/>
      <c r="U268" s="1"/>
      <c r="V268" s="62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</row>
    <row r="269" spans="1:67" hidden="1" x14ac:dyDescent="0.25">
      <c r="A269" t="s">
        <v>684</v>
      </c>
      <c r="E269" s="42" t="s">
        <v>685</v>
      </c>
      <c r="F269" s="43" t="s">
        <v>686</v>
      </c>
      <c r="G269" s="14">
        <v>0</v>
      </c>
      <c r="H269" s="2"/>
      <c r="I269" s="19"/>
      <c r="J269" s="14">
        <v>0</v>
      </c>
      <c r="K269" s="2"/>
      <c r="L269" s="19"/>
      <c r="M269" s="14">
        <v>0</v>
      </c>
      <c r="N269" s="2"/>
      <c r="O269" s="14">
        <v>0</v>
      </c>
      <c r="P269" s="55" t="s">
        <v>2863</v>
      </c>
      <c r="Q269" s="14">
        <v>0</v>
      </c>
      <c r="R269" s="2"/>
      <c r="S269" s="44">
        <f>[1]!DDIFF(0,0)</f>
        <v>0</v>
      </c>
      <c r="T269" s="2"/>
      <c r="U269" s="1"/>
      <c r="V269" s="62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</row>
    <row r="270" spans="1:67" x14ac:dyDescent="0.25">
      <c r="A270" t="s">
        <v>687</v>
      </c>
      <c r="E270" s="42" t="s">
        <v>688</v>
      </c>
      <c r="F270" s="43" t="s">
        <v>689</v>
      </c>
      <c r="G270" s="14">
        <v>143370</v>
      </c>
      <c r="H270" s="2"/>
      <c r="I270" s="19"/>
      <c r="J270" s="14">
        <v>0</v>
      </c>
      <c r="K270" s="2"/>
      <c r="L270" s="19"/>
      <c r="M270" s="14">
        <v>0</v>
      </c>
      <c r="N270" s="2"/>
      <c r="O270" s="14">
        <v>143370</v>
      </c>
      <c r="P270" s="55" t="s">
        <v>2863</v>
      </c>
      <c r="Q270" s="14">
        <v>143370</v>
      </c>
      <c r="R270" s="2"/>
      <c r="S270" s="44">
        <f>[1]!DDIFF(143370,143370)</f>
        <v>0</v>
      </c>
      <c r="T270" s="2"/>
      <c r="U270" s="1"/>
      <c r="V270" s="62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</row>
    <row r="271" spans="1:67" x14ac:dyDescent="0.25">
      <c r="A271" t="s">
        <v>690</v>
      </c>
      <c r="E271" s="42" t="s">
        <v>691</v>
      </c>
      <c r="F271" s="43" t="s">
        <v>692</v>
      </c>
      <c r="G271" s="14">
        <v>586780</v>
      </c>
      <c r="H271" s="2"/>
      <c r="I271" s="19"/>
      <c r="J271" s="14">
        <v>0</v>
      </c>
      <c r="K271" s="2"/>
      <c r="L271" s="19"/>
      <c r="M271" s="14">
        <v>0</v>
      </c>
      <c r="N271" s="2"/>
      <c r="O271" s="14">
        <v>586780</v>
      </c>
      <c r="P271" s="55" t="s">
        <v>2863</v>
      </c>
      <c r="Q271" s="14">
        <v>586780</v>
      </c>
      <c r="R271" s="2"/>
      <c r="S271" s="44">
        <f>[1]!DDIFF(586780,586780)</f>
        <v>0</v>
      </c>
      <c r="T271" s="2"/>
      <c r="U271" s="1"/>
      <c r="V271" s="62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</row>
    <row r="272" spans="1:67" collapsed="1" x14ac:dyDescent="0.25">
      <c r="A272" t="s">
        <v>693</v>
      </c>
      <c r="E272" s="42" t="s">
        <v>694</v>
      </c>
      <c r="F272" s="43" t="s">
        <v>695</v>
      </c>
      <c r="G272" s="14">
        <v>21835690</v>
      </c>
      <c r="H272" s="2"/>
      <c r="I272" s="19"/>
      <c r="J272" s="14">
        <v>3750</v>
      </c>
      <c r="K272" s="2"/>
      <c r="L272" s="19"/>
      <c r="M272" s="14">
        <v>0</v>
      </c>
      <c r="N272" s="2"/>
      <c r="O272" s="14">
        <v>21839440</v>
      </c>
      <c r="P272" s="55">
        <v>331</v>
      </c>
      <c r="Q272" s="14">
        <v>21723149</v>
      </c>
      <c r="R272" s="2"/>
      <c r="S272" s="44">
        <f>[1]!DDIFF(21723149,21839440)</f>
        <v>116291</v>
      </c>
      <c r="T272" s="2"/>
      <c r="U272" s="1"/>
      <c r="V272" s="62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</row>
    <row r="273" spans="1:67" hidden="1" outlineLevel="1" x14ac:dyDescent="0.25">
      <c r="A273" t="s">
        <v>2773</v>
      </c>
      <c r="E273" s="7"/>
      <c r="F273" s="10"/>
      <c r="G273" s="14"/>
      <c r="H273" s="2"/>
      <c r="I273" s="54" t="s">
        <v>2774</v>
      </c>
      <c r="J273" s="14">
        <v>3750</v>
      </c>
      <c r="K273" s="2"/>
      <c r="L273" s="19"/>
      <c r="M273" s="14"/>
      <c r="N273" s="2"/>
      <c r="O273" s="14"/>
      <c r="P273" s="55" t="s">
        <v>2863</v>
      </c>
      <c r="Q273" s="14"/>
      <c r="R273" s="2"/>
      <c r="S273" s="14"/>
      <c r="T273" s="2"/>
      <c r="U273" s="1"/>
      <c r="V273" s="62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</row>
    <row r="274" spans="1:67" collapsed="1" x14ac:dyDescent="0.25">
      <c r="A274" t="s">
        <v>696</v>
      </c>
      <c r="E274" s="42" t="s">
        <v>697</v>
      </c>
      <c r="F274" s="43" t="s">
        <v>698</v>
      </c>
      <c r="G274" s="14">
        <v>3630509</v>
      </c>
      <c r="H274" s="2"/>
      <c r="I274" s="19"/>
      <c r="J274" s="14">
        <v>-3750</v>
      </c>
      <c r="K274" s="2"/>
      <c r="L274" s="19"/>
      <c r="M274" s="14">
        <v>0</v>
      </c>
      <c r="N274" s="2"/>
      <c r="O274" s="14">
        <v>3626759</v>
      </c>
      <c r="P274" s="55" t="s">
        <v>2863</v>
      </c>
      <c r="Q274" s="14">
        <v>3624009</v>
      </c>
      <c r="R274" s="2"/>
      <c r="S274" s="44">
        <f>[1]!DDIFF(3624009,3626759)</f>
        <v>2750</v>
      </c>
      <c r="T274" s="2"/>
      <c r="U274" s="1"/>
      <c r="V274" s="62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</row>
    <row r="275" spans="1:67" hidden="1" outlineLevel="1" x14ac:dyDescent="0.25">
      <c r="A275" t="s">
        <v>2775</v>
      </c>
      <c r="E275" s="7"/>
      <c r="F275" s="10"/>
      <c r="G275" s="14"/>
      <c r="H275" s="2"/>
      <c r="I275" s="54" t="s">
        <v>2774</v>
      </c>
      <c r="J275" s="14">
        <v>-3750</v>
      </c>
      <c r="K275" s="2"/>
      <c r="L275" s="19"/>
      <c r="M275" s="14"/>
      <c r="N275" s="2"/>
      <c r="O275" s="14"/>
      <c r="P275" s="55" t="s">
        <v>2863</v>
      </c>
      <c r="Q275" s="14"/>
      <c r="R275" s="2"/>
      <c r="S275" s="14"/>
      <c r="T275" s="2"/>
      <c r="U275" s="1"/>
      <c r="V275" s="62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</row>
    <row r="276" spans="1:67" hidden="1" x14ac:dyDescent="0.25">
      <c r="A276" t="s">
        <v>699</v>
      </c>
      <c r="E276" s="42" t="s">
        <v>700</v>
      </c>
      <c r="F276" s="43" t="s">
        <v>701</v>
      </c>
      <c r="G276" s="14">
        <v>0</v>
      </c>
      <c r="H276" s="2"/>
      <c r="I276" s="19"/>
      <c r="J276" s="14">
        <v>0</v>
      </c>
      <c r="K276" s="2"/>
      <c r="L276" s="19"/>
      <c r="M276" s="14">
        <v>0</v>
      </c>
      <c r="N276" s="2"/>
      <c r="O276" s="14">
        <v>0</v>
      </c>
      <c r="P276" s="55" t="s">
        <v>2863</v>
      </c>
      <c r="Q276" s="14">
        <v>0</v>
      </c>
      <c r="R276" s="2"/>
      <c r="S276" s="44">
        <f>[1]!DDIFF(0,0)</f>
        <v>0</v>
      </c>
      <c r="T276" s="2"/>
      <c r="U276" s="1"/>
      <c r="V276" s="62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</row>
    <row r="277" spans="1:67" x14ac:dyDescent="0.25">
      <c r="A277" t="s">
        <v>702</v>
      </c>
      <c r="E277" s="42" t="s">
        <v>703</v>
      </c>
      <c r="F277" s="43" t="s">
        <v>704</v>
      </c>
      <c r="G277" s="14">
        <v>80000</v>
      </c>
      <c r="H277" s="2"/>
      <c r="I277" s="19"/>
      <c r="J277" s="14">
        <v>0</v>
      </c>
      <c r="K277" s="2"/>
      <c r="L277" s="19"/>
      <c r="M277" s="14">
        <v>0</v>
      </c>
      <c r="N277" s="2"/>
      <c r="O277" s="14">
        <v>80000</v>
      </c>
      <c r="P277" s="55" t="s">
        <v>2863</v>
      </c>
      <c r="Q277" s="14">
        <v>80000</v>
      </c>
      <c r="R277" s="2"/>
      <c r="S277" s="44">
        <f>[1]!DDIFF(80000,80000)</f>
        <v>0</v>
      </c>
      <c r="T277" s="2"/>
      <c r="U277" s="1"/>
      <c r="V277" s="62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</row>
    <row r="278" spans="1:67" hidden="1" x14ac:dyDescent="0.25">
      <c r="A278" t="s">
        <v>705</v>
      </c>
      <c r="E278" s="42" t="s">
        <v>706</v>
      </c>
      <c r="F278" s="43" t="s">
        <v>707</v>
      </c>
      <c r="G278" s="14">
        <v>0</v>
      </c>
      <c r="H278" s="2"/>
      <c r="I278" s="19"/>
      <c r="J278" s="14">
        <v>0</v>
      </c>
      <c r="K278" s="2"/>
      <c r="L278" s="19"/>
      <c r="M278" s="14">
        <v>0</v>
      </c>
      <c r="N278" s="2"/>
      <c r="O278" s="14">
        <v>0</v>
      </c>
      <c r="P278" s="55" t="s">
        <v>2863</v>
      </c>
      <c r="Q278" s="14">
        <v>0</v>
      </c>
      <c r="R278" s="2"/>
      <c r="S278" s="44">
        <f>[1]!DDIFF(0,0)</f>
        <v>0</v>
      </c>
      <c r="T278" s="2"/>
      <c r="U278" s="1"/>
      <c r="V278" s="62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</row>
    <row r="279" spans="1:67" hidden="1" x14ac:dyDescent="0.25">
      <c r="A279" t="s">
        <v>708</v>
      </c>
      <c r="E279" s="42" t="s">
        <v>709</v>
      </c>
      <c r="F279" s="43" t="s">
        <v>710</v>
      </c>
      <c r="G279" s="14">
        <v>0</v>
      </c>
      <c r="H279" s="2"/>
      <c r="I279" s="19"/>
      <c r="J279" s="14">
        <v>0</v>
      </c>
      <c r="K279" s="2"/>
      <c r="L279" s="19"/>
      <c r="M279" s="14">
        <v>0</v>
      </c>
      <c r="N279" s="2"/>
      <c r="O279" s="14">
        <v>0</v>
      </c>
      <c r="P279" s="55" t="s">
        <v>2863</v>
      </c>
      <c r="Q279" s="14">
        <v>0</v>
      </c>
      <c r="R279" s="2"/>
      <c r="S279" s="44">
        <f>[1]!DDIFF(0,0)</f>
        <v>0</v>
      </c>
      <c r="T279" s="2"/>
      <c r="U279" s="1"/>
      <c r="V279" s="62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</row>
    <row r="280" spans="1:67" hidden="1" x14ac:dyDescent="0.25">
      <c r="A280" t="s">
        <v>711</v>
      </c>
      <c r="E280" s="42" t="s">
        <v>712</v>
      </c>
      <c r="F280" s="43" t="s">
        <v>713</v>
      </c>
      <c r="G280" s="14">
        <v>0</v>
      </c>
      <c r="H280" s="2"/>
      <c r="I280" s="19"/>
      <c r="J280" s="14">
        <v>0</v>
      </c>
      <c r="K280" s="2"/>
      <c r="L280" s="19"/>
      <c r="M280" s="14">
        <v>0</v>
      </c>
      <c r="N280" s="2"/>
      <c r="O280" s="14">
        <v>0</v>
      </c>
      <c r="P280" s="55" t="s">
        <v>2863</v>
      </c>
      <c r="Q280" s="14">
        <v>0</v>
      </c>
      <c r="R280" s="2"/>
      <c r="S280" s="44">
        <f>[1]!DDIFF(0,0)</f>
        <v>0</v>
      </c>
      <c r="T280" s="2"/>
      <c r="U280" s="1"/>
      <c r="V280" s="62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</row>
    <row r="281" spans="1:67" x14ac:dyDescent="0.25">
      <c r="A281" t="s">
        <v>714</v>
      </c>
      <c r="E281" s="42" t="s">
        <v>715</v>
      </c>
      <c r="F281" s="43" t="s">
        <v>602</v>
      </c>
      <c r="G281" s="14">
        <v>126501</v>
      </c>
      <c r="H281" s="2"/>
      <c r="I281" s="19"/>
      <c r="J281" s="14">
        <v>0</v>
      </c>
      <c r="K281" s="2"/>
      <c r="L281" s="19"/>
      <c r="M281" s="14">
        <v>0</v>
      </c>
      <c r="N281" s="2"/>
      <c r="O281" s="14">
        <v>126501</v>
      </c>
      <c r="P281" s="55" t="s">
        <v>2863</v>
      </c>
      <c r="Q281" s="14">
        <v>126501</v>
      </c>
      <c r="R281" s="2"/>
      <c r="S281" s="44">
        <f>[1]!DDIFF(126501,126501)</f>
        <v>0</v>
      </c>
      <c r="T281" s="2"/>
      <c r="U281" s="1"/>
      <c r="V281" s="62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</row>
    <row r="282" spans="1:67" collapsed="1" x14ac:dyDescent="0.25">
      <c r="A282" t="s">
        <v>716</v>
      </c>
      <c r="E282" s="42" t="s">
        <v>717</v>
      </c>
      <c r="F282" s="43" t="s">
        <v>605</v>
      </c>
      <c r="G282" s="14">
        <v>216590</v>
      </c>
      <c r="H282" s="2"/>
      <c r="I282" s="19"/>
      <c r="J282" s="14">
        <v>-2206</v>
      </c>
      <c r="K282" s="2"/>
      <c r="L282" s="19"/>
      <c r="M282" s="14">
        <v>0</v>
      </c>
      <c r="N282" s="2"/>
      <c r="O282" s="14">
        <v>214384</v>
      </c>
      <c r="P282" s="55" t="s">
        <v>2863</v>
      </c>
      <c r="Q282" s="14">
        <v>212478</v>
      </c>
      <c r="R282" s="2"/>
      <c r="S282" s="44">
        <f>[1]!DDIFF(212478,214384)</f>
        <v>1906</v>
      </c>
      <c r="T282" s="2"/>
      <c r="U282" s="1"/>
      <c r="V282" s="62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</row>
    <row r="283" spans="1:67" hidden="1" outlineLevel="1" x14ac:dyDescent="0.25">
      <c r="A283" t="s">
        <v>2793</v>
      </c>
      <c r="E283" s="7"/>
      <c r="F283" s="10"/>
      <c r="G283" s="14"/>
      <c r="H283" s="2"/>
      <c r="I283" s="54" t="s">
        <v>2785</v>
      </c>
      <c r="J283" s="14">
        <v>-2206</v>
      </c>
      <c r="K283" s="2"/>
      <c r="L283" s="19"/>
      <c r="M283" s="14"/>
      <c r="N283" s="2"/>
      <c r="O283" s="14"/>
      <c r="P283" s="55" t="s">
        <v>2863</v>
      </c>
      <c r="Q283" s="14"/>
      <c r="R283" s="2"/>
      <c r="S283" s="14"/>
      <c r="T283" s="2"/>
      <c r="U283" s="1"/>
      <c r="V283" s="62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</row>
    <row r="284" spans="1:67" hidden="1" x14ac:dyDescent="0.25">
      <c r="A284" t="s">
        <v>718</v>
      </c>
      <c r="E284" s="42" t="s">
        <v>719</v>
      </c>
      <c r="F284" s="43" t="s">
        <v>720</v>
      </c>
      <c r="G284" s="14">
        <v>0</v>
      </c>
      <c r="H284" s="2"/>
      <c r="I284" s="19"/>
      <c r="J284" s="14">
        <v>0</v>
      </c>
      <c r="K284" s="2"/>
      <c r="L284" s="19"/>
      <c r="M284" s="14">
        <v>0</v>
      </c>
      <c r="N284" s="2"/>
      <c r="O284" s="14">
        <v>0</v>
      </c>
      <c r="P284" s="55" t="s">
        <v>2863</v>
      </c>
      <c r="Q284" s="14">
        <v>0</v>
      </c>
      <c r="R284" s="2"/>
      <c r="S284" s="44">
        <f>[1]!DDIFF(0,0)</f>
        <v>0</v>
      </c>
      <c r="T284" s="2"/>
      <c r="U284" s="1"/>
      <c r="V284" s="62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</row>
    <row r="285" spans="1:67" collapsed="1" x14ac:dyDescent="0.25">
      <c r="A285" t="s">
        <v>721</v>
      </c>
      <c r="E285" s="42" t="s">
        <v>722</v>
      </c>
      <c r="F285" s="43" t="s">
        <v>608</v>
      </c>
      <c r="G285" s="14">
        <v>368391</v>
      </c>
      <c r="H285" s="2"/>
      <c r="I285" s="19"/>
      <c r="J285" s="14">
        <v>-64354</v>
      </c>
      <c r="K285" s="2"/>
      <c r="L285" s="19"/>
      <c r="M285" s="14">
        <v>0</v>
      </c>
      <c r="N285" s="2"/>
      <c r="O285" s="14">
        <v>304037</v>
      </c>
      <c r="P285" s="55" t="s">
        <v>2863</v>
      </c>
      <c r="Q285" s="14">
        <v>368391</v>
      </c>
      <c r="R285" s="2"/>
      <c r="S285" s="44">
        <f>[1]!DDIFF(368391,304037)</f>
        <v>-64354</v>
      </c>
      <c r="T285" s="2"/>
      <c r="U285" s="1"/>
      <c r="V285" s="62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</row>
    <row r="286" spans="1:67" hidden="1" outlineLevel="1" x14ac:dyDescent="0.25">
      <c r="A286" t="s">
        <v>2794</v>
      </c>
      <c r="E286" s="7"/>
      <c r="F286" s="10"/>
      <c r="G286" s="14"/>
      <c r="H286" s="2"/>
      <c r="I286" s="54" t="s">
        <v>2785</v>
      </c>
      <c r="J286" s="14">
        <v>-64354</v>
      </c>
      <c r="K286" s="2"/>
      <c r="L286" s="19"/>
      <c r="M286" s="14"/>
      <c r="N286" s="2"/>
      <c r="O286" s="14"/>
      <c r="P286" s="55" t="s">
        <v>2863</v>
      </c>
      <c r="Q286" s="14"/>
      <c r="R286" s="2"/>
      <c r="S286" s="14"/>
      <c r="T286" s="2"/>
      <c r="U286" s="1"/>
      <c r="V286" s="62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</row>
    <row r="287" spans="1:67" x14ac:dyDescent="0.25">
      <c r="A287" t="s">
        <v>723</v>
      </c>
      <c r="E287" s="42" t="s">
        <v>724</v>
      </c>
      <c r="F287" s="43" t="s">
        <v>611</v>
      </c>
      <c r="G287" s="14">
        <v>22075</v>
      </c>
      <c r="H287" s="2"/>
      <c r="I287" s="19"/>
      <c r="J287" s="14">
        <v>0</v>
      </c>
      <c r="K287" s="2"/>
      <c r="L287" s="19"/>
      <c r="M287" s="14">
        <v>0</v>
      </c>
      <c r="N287" s="2"/>
      <c r="O287" s="14">
        <v>22075</v>
      </c>
      <c r="P287" s="55" t="s">
        <v>2863</v>
      </c>
      <c r="Q287" s="14">
        <v>21990</v>
      </c>
      <c r="R287" s="2"/>
      <c r="S287" s="44">
        <f>[1]!DDIFF(21990,22075)</f>
        <v>85</v>
      </c>
      <c r="T287" s="2"/>
      <c r="U287" s="1"/>
      <c r="V287" s="62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</row>
    <row r="288" spans="1:67" collapsed="1" x14ac:dyDescent="0.25">
      <c r="A288" t="s">
        <v>725</v>
      </c>
      <c r="E288" s="42" t="s">
        <v>726</v>
      </c>
      <c r="F288" s="43" t="s">
        <v>727</v>
      </c>
      <c r="G288" s="14">
        <v>553918</v>
      </c>
      <c r="H288" s="2"/>
      <c r="I288" s="19"/>
      <c r="J288" s="14">
        <v>-3065</v>
      </c>
      <c r="K288" s="2"/>
      <c r="L288" s="19"/>
      <c r="M288" s="14">
        <v>0</v>
      </c>
      <c r="N288" s="2"/>
      <c r="O288" s="14">
        <v>550853</v>
      </c>
      <c r="P288" s="55" t="s">
        <v>2863</v>
      </c>
      <c r="Q288" s="14">
        <v>553918</v>
      </c>
      <c r="R288" s="2"/>
      <c r="S288" s="44">
        <f>[1]!DDIFF(553918,550853)</f>
        <v>-3065</v>
      </c>
      <c r="T288" s="2"/>
      <c r="U288" s="1"/>
      <c r="V288" s="62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</row>
    <row r="289" spans="1:67" hidden="1" outlineLevel="1" x14ac:dyDescent="0.25">
      <c r="A289" t="s">
        <v>2795</v>
      </c>
      <c r="E289" s="7"/>
      <c r="F289" s="10"/>
      <c r="G289" s="14"/>
      <c r="H289" s="2"/>
      <c r="I289" s="54" t="s">
        <v>2785</v>
      </c>
      <c r="J289" s="14">
        <v>-3065</v>
      </c>
      <c r="K289" s="2"/>
      <c r="L289" s="19"/>
      <c r="M289" s="14"/>
      <c r="N289" s="2"/>
      <c r="O289" s="14"/>
      <c r="P289" s="2"/>
      <c r="Q289" s="14"/>
      <c r="R289" s="2"/>
      <c r="S289" s="14"/>
      <c r="T289" s="2"/>
      <c r="U289" s="1"/>
      <c r="V289" s="62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</row>
    <row r="290" spans="1:67" hidden="1" x14ac:dyDescent="0.25">
      <c r="A290" t="s">
        <v>728</v>
      </c>
      <c r="E290" s="42" t="s">
        <v>729</v>
      </c>
      <c r="F290" s="43" t="s">
        <v>680</v>
      </c>
      <c r="G290" s="14">
        <v>0</v>
      </c>
      <c r="H290" s="2"/>
      <c r="I290" s="19"/>
      <c r="J290" s="14">
        <v>0</v>
      </c>
      <c r="K290" s="2"/>
      <c r="L290" s="19"/>
      <c r="M290" s="14">
        <v>0</v>
      </c>
      <c r="N290" s="2"/>
      <c r="O290" s="14">
        <v>0</v>
      </c>
      <c r="P290" s="2"/>
      <c r="Q290" s="14">
        <v>0</v>
      </c>
      <c r="R290" s="2"/>
      <c r="S290" s="44">
        <f>[1]!DDIFF(0,0)</f>
        <v>0</v>
      </c>
      <c r="T290" s="2"/>
      <c r="U290" s="1"/>
      <c r="V290" s="62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</row>
    <row r="291" spans="1:67" hidden="1" x14ac:dyDescent="0.25">
      <c r="A291" t="s">
        <v>730</v>
      </c>
      <c r="E291" s="42" t="s">
        <v>731</v>
      </c>
      <c r="F291" s="43" t="s">
        <v>732</v>
      </c>
      <c r="G291" s="14">
        <v>0</v>
      </c>
      <c r="H291" s="2"/>
      <c r="I291" s="19"/>
      <c r="J291" s="14">
        <v>0</v>
      </c>
      <c r="K291" s="2"/>
      <c r="L291" s="19"/>
      <c r="M291" s="14">
        <v>0</v>
      </c>
      <c r="N291" s="2"/>
      <c r="O291" s="14">
        <v>0</v>
      </c>
      <c r="P291" s="2"/>
      <c r="Q291" s="14">
        <v>0</v>
      </c>
      <c r="R291" s="2"/>
      <c r="S291" s="44">
        <f>[1]!DDIFF(0,0)</f>
        <v>0</v>
      </c>
      <c r="T291" s="2"/>
      <c r="U291" s="1"/>
      <c r="V291" s="62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</row>
    <row r="292" spans="1:67" hidden="1" x14ac:dyDescent="0.25">
      <c r="A292" t="s">
        <v>733</v>
      </c>
      <c r="E292" s="42" t="s">
        <v>734</v>
      </c>
      <c r="F292" s="43" t="s">
        <v>735</v>
      </c>
      <c r="G292" s="14">
        <v>0</v>
      </c>
      <c r="H292" s="2"/>
      <c r="I292" s="19"/>
      <c r="J292" s="14">
        <v>0</v>
      </c>
      <c r="K292" s="2"/>
      <c r="L292" s="19"/>
      <c r="M292" s="14">
        <v>0</v>
      </c>
      <c r="N292" s="2"/>
      <c r="O292" s="14">
        <v>0</v>
      </c>
      <c r="P292" s="2"/>
      <c r="Q292" s="14">
        <v>0</v>
      </c>
      <c r="R292" s="2"/>
      <c r="S292" s="44">
        <f>[1]!DDIFF(0,0)</f>
        <v>0</v>
      </c>
      <c r="T292" s="2"/>
      <c r="U292" s="1"/>
      <c r="V292" s="62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</row>
    <row r="293" spans="1:67" hidden="1" x14ac:dyDescent="0.25">
      <c r="A293" t="s">
        <v>736</v>
      </c>
      <c r="E293" s="42" t="s">
        <v>737</v>
      </c>
      <c r="F293" s="43" t="s">
        <v>738</v>
      </c>
      <c r="G293" s="14">
        <v>0</v>
      </c>
      <c r="H293" s="2"/>
      <c r="I293" s="19"/>
      <c r="J293" s="14">
        <v>0</v>
      </c>
      <c r="K293" s="2"/>
      <c r="L293" s="19"/>
      <c r="M293" s="14">
        <v>0</v>
      </c>
      <c r="N293" s="2"/>
      <c r="O293" s="14">
        <v>0</v>
      </c>
      <c r="P293" s="2"/>
      <c r="Q293" s="14">
        <v>0</v>
      </c>
      <c r="R293" s="2"/>
      <c r="S293" s="44">
        <f>[1]!DDIFF(0,0)</f>
        <v>0</v>
      </c>
      <c r="T293" s="2"/>
      <c r="U293" s="1"/>
      <c r="V293" s="62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</row>
    <row r="294" spans="1:67" hidden="1" x14ac:dyDescent="0.25">
      <c r="A294" t="s">
        <v>739</v>
      </c>
      <c r="E294" s="42" t="s">
        <v>740</v>
      </c>
      <c r="F294" s="43" t="s">
        <v>741</v>
      </c>
      <c r="G294" s="14">
        <v>0</v>
      </c>
      <c r="H294" s="2"/>
      <c r="I294" s="19"/>
      <c r="J294" s="14">
        <v>0</v>
      </c>
      <c r="K294" s="2"/>
      <c r="L294" s="19"/>
      <c r="M294" s="14">
        <v>0</v>
      </c>
      <c r="N294" s="2"/>
      <c r="O294" s="14">
        <v>0</v>
      </c>
      <c r="P294" s="2"/>
      <c r="Q294" s="14">
        <v>0</v>
      </c>
      <c r="R294" s="2"/>
      <c r="S294" s="44">
        <f>[1]!DDIFF(0,0)</f>
        <v>0</v>
      </c>
      <c r="T294" s="2"/>
      <c r="U294" s="1"/>
      <c r="V294" s="62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</row>
    <row r="295" spans="1:67" hidden="1" x14ac:dyDescent="0.25">
      <c r="A295" t="s">
        <v>742</v>
      </c>
      <c r="E295" s="42" t="s">
        <v>743</v>
      </c>
      <c r="F295" s="43" t="s">
        <v>744</v>
      </c>
      <c r="G295" s="14">
        <v>0</v>
      </c>
      <c r="H295" s="2"/>
      <c r="I295" s="19"/>
      <c r="J295" s="14">
        <v>0</v>
      </c>
      <c r="K295" s="2"/>
      <c r="L295" s="19"/>
      <c r="M295" s="14">
        <v>0</v>
      </c>
      <c r="N295" s="2"/>
      <c r="O295" s="14">
        <v>0</v>
      </c>
      <c r="P295" s="2"/>
      <c r="Q295" s="14">
        <v>0</v>
      </c>
      <c r="R295" s="2"/>
      <c r="S295" s="44">
        <f>[1]!DDIFF(0,0)</f>
        <v>0</v>
      </c>
      <c r="T295" s="2"/>
      <c r="U295" s="1"/>
      <c r="V295" s="62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</row>
    <row r="296" spans="1:67" hidden="1" x14ac:dyDescent="0.25">
      <c r="A296" t="s">
        <v>745</v>
      </c>
      <c r="E296" s="42" t="s">
        <v>746</v>
      </c>
      <c r="F296" s="43" t="s">
        <v>747</v>
      </c>
      <c r="G296" s="14">
        <v>0</v>
      </c>
      <c r="H296" s="2"/>
      <c r="I296" s="19"/>
      <c r="J296" s="14">
        <v>0</v>
      </c>
      <c r="K296" s="2"/>
      <c r="L296" s="19"/>
      <c r="M296" s="14">
        <v>0</v>
      </c>
      <c r="N296" s="2"/>
      <c r="O296" s="14">
        <v>0</v>
      </c>
      <c r="P296" s="2"/>
      <c r="Q296" s="14">
        <v>0</v>
      </c>
      <c r="R296" s="2"/>
      <c r="S296" s="44">
        <f>[1]!DDIFF(0,0)</f>
        <v>0</v>
      </c>
      <c r="T296" s="2"/>
      <c r="U296" s="1"/>
      <c r="V296" s="62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</row>
    <row r="297" spans="1:67" hidden="1" x14ac:dyDescent="0.25">
      <c r="A297" t="s">
        <v>748</v>
      </c>
      <c r="E297" s="42" t="s">
        <v>749</v>
      </c>
      <c r="F297" s="43" t="s">
        <v>750</v>
      </c>
      <c r="G297" s="14">
        <v>0</v>
      </c>
      <c r="H297" s="2"/>
      <c r="I297" s="19"/>
      <c r="J297" s="14">
        <v>0</v>
      </c>
      <c r="K297" s="2"/>
      <c r="L297" s="19"/>
      <c r="M297" s="14">
        <v>0</v>
      </c>
      <c r="N297" s="2"/>
      <c r="O297" s="14">
        <v>0</v>
      </c>
      <c r="P297" s="2"/>
      <c r="Q297" s="14">
        <v>0</v>
      </c>
      <c r="R297" s="2"/>
      <c r="S297" s="44">
        <f>[1]!DDIFF(0,0)</f>
        <v>0</v>
      </c>
      <c r="T297" s="2"/>
      <c r="U297" s="1"/>
      <c r="V297" s="62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</row>
    <row r="298" spans="1:67" hidden="1" x14ac:dyDescent="0.25">
      <c r="A298" t="s">
        <v>751</v>
      </c>
      <c r="E298" s="42" t="s">
        <v>752</v>
      </c>
      <c r="F298" s="43" t="s">
        <v>635</v>
      </c>
      <c r="G298" s="14">
        <v>0</v>
      </c>
      <c r="H298" s="2"/>
      <c r="I298" s="19"/>
      <c r="J298" s="14">
        <v>0</v>
      </c>
      <c r="K298" s="2"/>
      <c r="L298" s="19"/>
      <c r="M298" s="14">
        <v>0</v>
      </c>
      <c r="N298" s="2"/>
      <c r="O298" s="14">
        <v>0</v>
      </c>
      <c r="P298" s="2"/>
      <c r="Q298" s="14">
        <v>0</v>
      </c>
      <c r="R298" s="2"/>
      <c r="S298" s="44">
        <f>[1]!DDIFF(0,0)</f>
        <v>0</v>
      </c>
      <c r="T298" s="2"/>
      <c r="U298" s="1"/>
      <c r="V298" s="62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</row>
    <row r="299" spans="1:67" hidden="1" x14ac:dyDescent="0.25">
      <c r="A299" t="s">
        <v>753</v>
      </c>
      <c r="E299" s="42" t="s">
        <v>754</v>
      </c>
      <c r="F299" s="43" t="s">
        <v>755</v>
      </c>
      <c r="G299" s="14">
        <v>0</v>
      </c>
      <c r="H299" s="2"/>
      <c r="I299" s="19"/>
      <c r="J299" s="14">
        <v>0</v>
      </c>
      <c r="K299" s="2"/>
      <c r="L299" s="19"/>
      <c r="M299" s="14">
        <v>0</v>
      </c>
      <c r="N299" s="2"/>
      <c r="O299" s="14">
        <v>0</v>
      </c>
      <c r="P299" s="2"/>
      <c r="Q299" s="14">
        <v>0</v>
      </c>
      <c r="R299" s="2"/>
      <c r="S299" s="44">
        <f>[1]!DDIFF(0,0)</f>
        <v>0</v>
      </c>
      <c r="T299" s="2"/>
      <c r="U299" s="1"/>
      <c r="V299" s="62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</row>
    <row r="300" spans="1:67" hidden="1" x14ac:dyDescent="0.25">
      <c r="A300" t="s">
        <v>756</v>
      </c>
      <c r="E300" s="42" t="s">
        <v>757</v>
      </c>
      <c r="F300" s="43" t="s">
        <v>641</v>
      </c>
      <c r="G300" s="14">
        <v>0</v>
      </c>
      <c r="H300" s="2"/>
      <c r="I300" s="19"/>
      <c r="J300" s="14">
        <v>0</v>
      </c>
      <c r="K300" s="2"/>
      <c r="L300" s="19"/>
      <c r="M300" s="14">
        <v>0</v>
      </c>
      <c r="N300" s="2"/>
      <c r="O300" s="14">
        <v>0</v>
      </c>
      <c r="P300" s="2"/>
      <c r="Q300" s="14">
        <v>0</v>
      </c>
      <c r="R300" s="2"/>
      <c r="S300" s="44">
        <f>[1]!DDIFF(0,0)</f>
        <v>0</v>
      </c>
      <c r="T300" s="2"/>
      <c r="U300" s="1"/>
      <c r="V300" s="62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</row>
    <row r="301" spans="1:67" hidden="1" x14ac:dyDescent="0.25">
      <c r="A301" t="s">
        <v>758</v>
      </c>
      <c r="E301" s="42" t="s">
        <v>759</v>
      </c>
      <c r="F301" s="43" t="s">
        <v>760</v>
      </c>
      <c r="G301" s="14">
        <v>0</v>
      </c>
      <c r="H301" s="2"/>
      <c r="I301" s="19"/>
      <c r="J301" s="14">
        <v>0</v>
      </c>
      <c r="K301" s="2"/>
      <c r="L301" s="19"/>
      <c r="M301" s="14">
        <v>0</v>
      </c>
      <c r="N301" s="2"/>
      <c r="O301" s="14">
        <v>0</v>
      </c>
      <c r="P301" s="2"/>
      <c r="Q301" s="14">
        <v>0</v>
      </c>
      <c r="R301" s="2"/>
      <c r="S301" s="44">
        <f>[1]!DDIFF(0,0)</f>
        <v>0</v>
      </c>
      <c r="T301" s="2"/>
      <c r="U301" s="1"/>
      <c r="V301" s="62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</row>
    <row r="302" spans="1:67" hidden="1" collapsed="1" x14ac:dyDescent="0.25">
      <c r="A302" t="s">
        <v>761</v>
      </c>
      <c r="E302" s="42" t="s">
        <v>762</v>
      </c>
      <c r="F302" s="43" t="s">
        <v>763</v>
      </c>
      <c r="G302" s="14">
        <v>0</v>
      </c>
      <c r="H302" s="2"/>
      <c r="I302" s="19"/>
      <c r="J302" s="14">
        <v>0</v>
      </c>
      <c r="K302" s="2"/>
      <c r="L302" s="19"/>
      <c r="M302" s="14">
        <v>0</v>
      </c>
      <c r="N302" s="2"/>
      <c r="O302" s="14">
        <v>0</v>
      </c>
      <c r="P302" s="2"/>
      <c r="Q302" s="14">
        <v>0</v>
      </c>
      <c r="R302" s="2"/>
      <c r="S302" s="44">
        <f>[1]!DDIFF(0,0)</f>
        <v>0</v>
      </c>
      <c r="T302" s="2"/>
      <c r="U302" s="1"/>
      <c r="V302" s="62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</row>
    <row r="303" spans="1:67" hidden="1" x14ac:dyDescent="0.25">
      <c r="A303" t="s">
        <v>764</v>
      </c>
      <c r="E303" s="42" t="s">
        <v>765</v>
      </c>
      <c r="F303" s="43" t="s">
        <v>644</v>
      </c>
      <c r="G303" s="14">
        <v>0</v>
      </c>
      <c r="H303" s="2"/>
      <c r="I303" s="19"/>
      <c r="J303" s="14">
        <v>0</v>
      </c>
      <c r="K303" s="2"/>
      <c r="L303" s="19"/>
      <c r="M303" s="14">
        <v>0</v>
      </c>
      <c r="N303" s="2"/>
      <c r="O303" s="14">
        <v>0</v>
      </c>
      <c r="P303" s="2"/>
      <c r="Q303" s="14">
        <v>0</v>
      </c>
      <c r="R303" s="2"/>
      <c r="S303" s="44">
        <f>[1]!DDIFF(0,0)</f>
        <v>0</v>
      </c>
      <c r="T303" s="2"/>
      <c r="U303" s="1"/>
      <c r="V303" s="62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</row>
    <row r="304" spans="1:67" hidden="1" x14ac:dyDescent="0.25">
      <c r="A304" t="s">
        <v>766</v>
      </c>
      <c r="E304" s="42" t="s">
        <v>767</v>
      </c>
      <c r="F304" s="43" t="s">
        <v>768</v>
      </c>
      <c r="G304" s="14">
        <v>0</v>
      </c>
      <c r="H304" s="2"/>
      <c r="I304" s="19"/>
      <c r="J304" s="14">
        <v>0</v>
      </c>
      <c r="K304" s="2"/>
      <c r="L304" s="19"/>
      <c r="M304" s="14">
        <v>0</v>
      </c>
      <c r="N304" s="2"/>
      <c r="O304" s="14">
        <v>0</v>
      </c>
      <c r="P304" s="2"/>
      <c r="Q304" s="14">
        <v>0</v>
      </c>
      <c r="R304" s="2"/>
      <c r="S304" s="44">
        <f>[1]!DDIFF(0,0)</f>
        <v>0</v>
      </c>
      <c r="T304" s="2"/>
      <c r="U304" s="1"/>
      <c r="V304" s="62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</row>
    <row r="305" spans="1:67" x14ac:dyDescent="0.25">
      <c r="A305" t="s">
        <v>769</v>
      </c>
      <c r="E305" s="45" t="s">
        <v>770</v>
      </c>
      <c r="F305" s="46" t="s">
        <v>599</v>
      </c>
      <c r="G305" s="15">
        <v>111369369</v>
      </c>
      <c r="H305" s="3"/>
      <c r="I305" s="20"/>
      <c r="J305" s="15">
        <v>2085243</v>
      </c>
      <c r="K305" s="3"/>
      <c r="L305" s="20"/>
      <c r="M305" s="15">
        <v>0</v>
      </c>
      <c r="N305" s="3"/>
      <c r="O305" s="15">
        <v>113454612</v>
      </c>
      <c r="P305" s="3"/>
      <c r="Q305" s="15">
        <v>108583341</v>
      </c>
      <c r="R305" s="3"/>
      <c r="S305" s="47">
        <f>[1]!DDIFF(108583341,113454612)</f>
        <v>4871271</v>
      </c>
      <c r="T305" s="3"/>
      <c r="U305" s="1"/>
      <c r="V305" s="62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</row>
    <row r="306" spans="1:67" x14ac:dyDescent="0.25">
      <c r="A306" t="s">
        <v>771</v>
      </c>
      <c r="H306" s="1"/>
      <c r="K306" s="1"/>
      <c r="N306" s="1"/>
      <c r="P306" s="1"/>
      <c r="R306" s="1"/>
      <c r="T306" s="1"/>
      <c r="U306" s="1"/>
      <c r="V306" s="62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</row>
    <row r="307" spans="1:67" x14ac:dyDescent="0.25">
      <c r="A307" t="s">
        <v>772</v>
      </c>
      <c r="E307" s="40" t="s">
        <v>773</v>
      </c>
      <c r="F307" s="41" t="s">
        <v>774</v>
      </c>
      <c r="H307" s="1"/>
      <c r="K307" s="1"/>
      <c r="N307" s="1"/>
      <c r="P307" s="1"/>
      <c r="R307" s="1"/>
      <c r="T307" s="1"/>
      <c r="U307" s="1"/>
      <c r="V307" s="62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</row>
    <row r="308" spans="1:67" hidden="1" x14ac:dyDescent="0.25">
      <c r="A308" t="s">
        <v>775</v>
      </c>
      <c r="E308" s="42" t="s">
        <v>776</v>
      </c>
      <c r="F308" s="43" t="s">
        <v>777</v>
      </c>
      <c r="G308" s="14">
        <v>0</v>
      </c>
      <c r="H308" s="2"/>
      <c r="I308" s="19"/>
      <c r="J308" s="14">
        <v>0</v>
      </c>
      <c r="K308" s="2"/>
      <c r="L308" s="19"/>
      <c r="M308" s="14">
        <v>0</v>
      </c>
      <c r="N308" s="2"/>
      <c r="O308" s="14">
        <v>0</v>
      </c>
      <c r="P308" s="2"/>
      <c r="Q308" s="14">
        <v>0</v>
      </c>
      <c r="R308" s="2"/>
      <c r="S308" s="44">
        <f>[1]!DDIFF(0,0)</f>
        <v>0</v>
      </c>
      <c r="T308" s="2"/>
      <c r="U308" s="1"/>
      <c r="V308" s="62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</row>
    <row r="309" spans="1:67" hidden="1" x14ac:dyDescent="0.25">
      <c r="A309" t="s">
        <v>778</v>
      </c>
      <c r="E309" s="42" t="s">
        <v>779</v>
      </c>
      <c r="F309" s="43" t="s">
        <v>780</v>
      </c>
      <c r="G309" s="14">
        <v>0</v>
      </c>
      <c r="H309" s="2"/>
      <c r="I309" s="19"/>
      <c r="J309" s="14">
        <v>0</v>
      </c>
      <c r="K309" s="2"/>
      <c r="L309" s="19"/>
      <c r="M309" s="14">
        <v>0</v>
      </c>
      <c r="N309" s="2"/>
      <c r="O309" s="14">
        <v>0</v>
      </c>
      <c r="P309" s="2"/>
      <c r="Q309" s="14">
        <v>0</v>
      </c>
      <c r="R309" s="2"/>
      <c r="S309" s="44">
        <f>[1]!DDIFF(0,0)</f>
        <v>0</v>
      </c>
      <c r="T309" s="2"/>
      <c r="U309" s="1"/>
      <c r="V309" s="62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</row>
    <row r="310" spans="1:67" hidden="1" x14ac:dyDescent="0.25">
      <c r="A310" t="s">
        <v>781</v>
      </c>
      <c r="E310" s="42" t="s">
        <v>782</v>
      </c>
      <c r="F310" s="43" t="s">
        <v>783</v>
      </c>
      <c r="G310" s="14">
        <v>0</v>
      </c>
      <c r="H310" s="2"/>
      <c r="I310" s="19"/>
      <c r="J310" s="14">
        <v>0</v>
      </c>
      <c r="K310" s="2"/>
      <c r="L310" s="19"/>
      <c r="M310" s="14">
        <v>0</v>
      </c>
      <c r="N310" s="2"/>
      <c r="O310" s="14">
        <v>0</v>
      </c>
      <c r="P310" s="2"/>
      <c r="Q310" s="14">
        <v>0</v>
      </c>
      <c r="R310" s="2"/>
      <c r="S310" s="44">
        <f>[1]!DDIFF(0,0)</f>
        <v>0</v>
      </c>
      <c r="T310" s="2"/>
      <c r="U310" s="1"/>
      <c r="V310" s="62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</row>
    <row r="311" spans="1:67" hidden="1" x14ac:dyDescent="0.25">
      <c r="A311" t="s">
        <v>784</v>
      </c>
      <c r="E311" s="42" t="s">
        <v>785</v>
      </c>
      <c r="F311" s="43" t="s">
        <v>786</v>
      </c>
      <c r="G311" s="14">
        <v>0</v>
      </c>
      <c r="H311" s="2"/>
      <c r="I311" s="19"/>
      <c r="J311" s="14">
        <v>0</v>
      </c>
      <c r="K311" s="2"/>
      <c r="L311" s="19"/>
      <c r="M311" s="14">
        <v>0</v>
      </c>
      <c r="N311" s="2"/>
      <c r="O311" s="14">
        <v>0</v>
      </c>
      <c r="P311" s="2"/>
      <c r="Q311" s="14">
        <v>0</v>
      </c>
      <c r="R311" s="2"/>
      <c r="S311" s="44">
        <f>[1]!DDIFF(0,0)</f>
        <v>0</v>
      </c>
      <c r="T311" s="2"/>
      <c r="U311" s="1"/>
      <c r="V311" s="62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</row>
    <row r="312" spans="1:67" hidden="1" x14ac:dyDescent="0.25">
      <c r="A312" t="s">
        <v>787</v>
      </c>
      <c r="E312" s="42" t="s">
        <v>788</v>
      </c>
      <c r="F312" s="43" t="s">
        <v>789</v>
      </c>
      <c r="G312" s="14">
        <v>0</v>
      </c>
      <c r="H312" s="2"/>
      <c r="I312" s="19"/>
      <c r="J312" s="14">
        <v>0</v>
      </c>
      <c r="K312" s="2"/>
      <c r="L312" s="19"/>
      <c r="M312" s="14">
        <v>0</v>
      </c>
      <c r="N312" s="2"/>
      <c r="O312" s="14">
        <v>0</v>
      </c>
      <c r="P312" s="2"/>
      <c r="Q312" s="14">
        <v>0</v>
      </c>
      <c r="R312" s="2"/>
      <c r="S312" s="44">
        <f>[1]!DDIFF(0,0)</f>
        <v>0</v>
      </c>
      <c r="T312" s="2"/>
      <c r="U312" s="1"/>
      <c r="V312" s="62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</row>
    <row r="313" spans="1:67" hidden="1" x14ac:dyDescent="0.25">
      <c r="A313" t="s">
        <v>790</v>
      </c>
      <c r="E313" s="42" t="s">
        <v>791</v>
      </c>
      <c r="F313" s="43" t="s">
        <v>792</v>
      </c>
      <c r="G313" s="14">
        <v>0</v>
      </c>
      <c r="H313" s="2"/>
      <c r="I313" s="19"/>
      <c r="J313" s="14">
        <v>0</v>
      </c>
      <c r="K313" s="2"/>
      <c r="L313" s="19"/>
      <c r="M313" s="14">
        <v>0</v>
      </c>
      <c r="N313" s="2"/>
      <c r="O313" s="14">
        <v>0</v>
      </c>
      <c r="P313" s="2"/>
      <c r="Q313" s="14">
        <v>0</v>
      </c>
      <c r="R313" s="2"/>
      <c r="S313" s="44">
        <f>[1]!DDIFF(0,0)</f>
        <v>0</v>
      </c>
      <c r="T313" s="2"/>
      <c r="U313" s="1"/>
      <c r="V313" s="62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</row>
    <row r="314" spans="1:67" hidden="1" x14ac:dyDescent="0.25">
      <c r="A314" t="s">
        <v>793</v>
      </c>
      <c r="E314" s="42" t="s">
        <v>794</v>
      </c>
      <c r="F314" s="43" t="s">
        <v>795</v>
      </c>
      <c r="G314" s="14">
        <v>0</v>
      </c>
      <c r="H314" s="2"/>
      <c r="I314" s="19"/>
      <c r="J314" s="14">
        <v>0</v>
      </c>
      <c r="K314" s="2"/>
      <c r="L314" s="19"/>
      <c r="M314" s="14">
        <v>0</v>
      </c>
      <c r="N314" s="2"/>
      <c r="O314" s="14">
        <v>0</v>
      </c>
      <c r="P314" s="2"/>
      <c r="Q314" s="14">
        <v>0</v>
      </c>
      <c r="R314" s="2"/>
      <c r="S314" s="44">
        <f>[1]!DDIFF(0,0)</f>
        <v>0</v>
      </c>
      <c r="T314" s="2"/>
      <c r="U314" s="1"/>
      <c r="V314" s="62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</row>
    <row r="315" spans="1:67" hidden="1" x14ac:dyDescent="0.25">
      <c r="A315" t="s">
        <v>796</v>
      </c>
      <c r="E315" s="42" t="s">
        <v>797</v>
      </c>
      <c r="F315" s="43" t="s">
        <v>798</v>
      </c>
      <c r="G315" s="14">
        <v>0</v>
      </c>
      <c r="H315" s="2"/>
      <c r="I315" s="19"/>
      <c r="J315" s="14">
        <v>0</v>
      </c>
      <c r="K315" s="2"/>
      <c r="L315" s="19"/>
      <c r="M315" s="14">
        <v>0</v>
      </c>
      <c r="N315" s="2"/>
      <c r="O315" s="14">
        <v>0</v>
      </c>
      <c r="P315" s="2"/>
      <c r="Q315" s="14">
        <v>0</v>
      </c>
      <c r="R315" s="2"/>
      <c r="S315" s="44">
        <f>[1]!DDIFF(0,0)</f>
        <v>0</v>
      </c>
      <c r="T315" s="2"/>
      <c r="U315" s="1"/>
      <c r="V315" s="62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</row>
    <row r="316" spans="1:67" hidden="1" x14ac:dyDescent="0.25">
      <c r="A316" t="s">
        <v>799</v>
      </c>
      <c r="E316" s="42" t="s">
        <v>800</v>
      </c>
      <c r="F316" s="43" t="s">
        <v>801</v>
      </c>
      <c r="G316" s="14">
        <v>0</v>
      </c>
      <c r="H316" s="2"/>
      <c r="I316" s="19"/>
      <c r="J316" s="14">
        <v>0</v>
      </c>
      <c r="K316" s="2"/>
      <c r="L316" s="19"/>
      <c r="M316" s="14">
        <v>0</v>
      </c>
      <c r="N316" s="2"/>
      <c r="O316" s="14">
        <v>0</v>
      </c>
      <c r="P316" s="2"/>
      <c r="Q316" s="14">
        <v>0</v>
      </c>
      <c r="R316" s="2"/>
      <c r="S316" s="44">
        <f>[1]!DDIFF(0,0)</f>
        <v>0</v>
      </c>
      <c r="T316" s="2"/>
      <c r="U316" s="1"/>
      <c r="V316" s="62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</row>
    <row r="317" spans="1:67" collapsed="1" x14ac:dyDescent="0.25">
      <c r="A317" t="s">
        <v>802</v>
      </c>
      <c r="E317" s="42" t="s">
        <v>803</v>
      </c>
      <c r="F317" s="43" t="s">
        <v>804</v>
      </c>
      <c r="G317" s="14">
        <v>-39993248</v>
      </c>
      <c r="H317" s="2"/>
      <c r="I317" s="19"/>
      <c r="J317" s="14">
        <v>161476</v>
      </c>
      <c r="K317" s="2"/>
      <c r="L317" s="19"/>
      <c r="M317" s="14">
        <v>0</v>
      </c>
      <c r="N317" s="2"/>
      <c r="O317" s="14">
        <v>-39831772</v>
      </c>
      <c r="P317" s="55" t="s">
        <v>2863</v>
      </c>
      <c r="Q317" s="14">
        <v>-37530248</v>
      </c>
      <c r="R317" s="2"/>
      <c r="S317" s="44">
        <f>[1]!DDIFF(-37530248,-39831772)</f>
        <v>-2301524</v>
      </c>
      <c r="T317" s="2"/>
      <c r="U317" s="1"/>
      <c r="V317" s="62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</row>
    <row r="318" spans="1:67" hidden="1" outlineLevel="1" x14ac:dyDescent="0.25">
      <c r="A318" t="s">
        <v>2796</v>
      </c>
      <c r="E318" s="7"/>
      <c r="F318" s="10"/>
      <c r="G318" s="14"/>
      <c r="H318" s="2"/>
      <c r="I318" s="54" t="s">
        <v>2785</v>
      </c>
      <c r="J318" s="14">
        <v>110733</v>
      </c>
      <c r="K318" s="2"/>
      <c r="L318" s="19"/>
      <c r="M318" s="14"/>
      <c r="N318" s="2"/>
      <c r="O318" s="14"/>
      <c r="P318" s="2"/>
      <c r="Q318" s="14"/>
      <c r="R318" s="2"/>
      <c r="S318" s="14"/>
      <c r="T318" s="2"/>
      <c r="U318" s="1"/>
      <c r="V318" s="62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</row>
    <row r="319" spans="1:67" hidden="1" outlineLevel="1" x14ac:dyDescent="0.25">
      <c r="A319" t="s">
        <v>2828</v>
      </c>
      <c r="E319" s="7"/>
      <c r="F319" s="10"/>
      <c r="G319" s="14"/>
      <c r="H319" s="2"/>
      <c r="I319" s="54" t="s">
        <v>2829</v>
      </c>
      <c r="J319" s="14">
        <v>50743</v>
      </c>
      <c r="K319" s="2"/>
      <c r="L319" s="19"/>
      <c r="M319" s="14"/>
      <c r="N319" s="2"/>
      <c r="O319" s="14"/>
      <c r="P319" s="2"/>
      <c r="Q319" s="14"/>
      <c r="R319" s="2"/>
      <c r="S319" s="14"/>
      <c r="T319" s="2"/>
      <c r="U319" s="1"/>
      <c r="V319" s="62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</row>
    <row r="320" spans="1:67" hidden="1" x14ac:dyDescent="0.25">
      <c r="A320" t="s">
        <v>805</v>
      </c>
      <c r="E320" s="42" t="s">
        <v>806</v>
      </c>
      <c r="F320" s="43" t="s">
        <v>807</v>
      </c>
      <c r="G320" s="14">
        <v>0</v>
      </c>
      <c r="H320" s="2"/>
      <c r="I320" s="19"/>
      <c r="J320" s="14">
        <v>0</v>
      </c>
      <c r="K320" s="2"/>
      <c r="L320" s="19"/>
      <c r="M320" s="14">
        <v>0</v>
      </c>
      <c r="N320" s="2"/>
      <c r="O320" s="14">
        <v>0</v>
      </c>
      <c r="P320" s="2"/>
      <c r="Q320" s="14">
        <v>0</v>
      </c>
      <c r="R320" s="2"/>
      <c r="S320" s="44">
        <f>[1]!DDIFF(0,0)</f>
        <v>0</v>
      </c>
      <c r="T320" s="2"/>
      <c r="U320" s="1"/>
      <c r="V320" s="62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</row>
    <row r="321" spans="1:67" hidden="1" x14ac:dyDescent="0.25">
      <c r="A321" t="s">
        <v>808</v>
      </c>
      <c r="E321" s="42" t="s">
        <v>809</v>
      </c>
      <c r="F321" s="43" t="s">
        <v>810</v>
      </c>
      <c r="G321" s="14">
        <v>0</v>
      </c>
      <c r="H321" s="2"/>
      <c r="I321" s="19"/>
      <c r="J321" s="14">
        <v>0</v>
      </c>
      <c r="K321" s="2"/>
      <c r="L321" s="19"/>
      <c r="M321" s="14">
        <v>0</v>
      </c>
      <c r="N321" s="2"/>
      <c r="O321" s="14">
        <v>0</v>
      </c>
      <c r="P321" s="2"/>
      <c r="Q321" s="14">
        <v>0</v>
      </c>
      <c r="R321" s="2"/>
      <c r="S321" s="44">
        <f>[1]!DDIFF(0,0)</f>
        <v>0</v>
      </c>
      <c r="T321" s="2"/>
      <c r="U321" s="1"/>
      <c r="V321" s="62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</row>
    <row r="322" spans="1:67" hidden="1" x14ac:dyDescent="0.25">
      <c r="A322" t="s">
        <v>811</v>
      </c>
      <c r="E322" s="42" t="s">
        <v>812</v>
      </c>
      <c r="F322" s="43" t="s">
        <v>813</v>
      </c>
      <c r="G322" s="14">
        <v>0</v>
      </c>
      <c r="H322" s="2"/>
      <c r="I322" s="19"/>
      <c r="J322" s="14">
        <v>0</v>
      </c>
      <c r="K322" s="2"/>
      <c r="L322" s="19"/>
      <c r="M322" s="14">
        <v>0</v>
      </c>
      <c r="N322" s="2"/>
      <c r="O322" s="14">
        <v>0</v>
      </c>
      <c r="P322" s="2"/>
      <c r="Q322" s="14">
        <v>0</v>
      </c>
      <c r="R322" s="2"/>
      <c r="S322" s="44">
        <f>[1]!DDIFF(0,0)</f>
        <v>0</v>
      </c>
      <c r="T322" s="2"/>
      <c r="U322" s="1"/>
      <c r="V322" s="62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</row>
    <row r="323" spans="1:67" hidden="1" x14ac:dyDescent="0.25">
      <c r="A323" t="s">
        <v>814</v>
      </c>
      <c r="E323" s="42" t="s">
        <v>815</v>
      </c>
      <c r="F323" s="43" t="s">
        <v>816</v>
      </c>
      <c r="G323" s="14">
        <v>0</v>
      </c>
      <c r="H323" s="2"/>
      <c r="I323" s="19"/>
      <c r="J323" s="14">
        <v>0</v>
      </c>
      <c r="K323" s="2"/>
      <c r="L323" s="19"/>
      <c r="M323" s="14">
        <v>0</v>
      </c>
      <c r="N323" s="2"/>
      <c r="O323" s="14">
        <v>0</v>
      </c>
      <c r="P323" s="2"/>
      <c r="Q323" s="14">
        <v>0</v>
      </c>
      <c r="R323" s="2"/>
      <c r="S323" s="44">
        <f>[1]!DDIFF(0,0)</f>
        <v>0</v>
      </c>
      <c r="T323" s="2"/>
      <c r="U323" s="1"/>
      <c r="V323" s="62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</row>
    <row r="324" spans="1:67" hidden="1" x14ac:dyDescent="0.25">
      <c r="A324" t="s">
        <v>817</v>
      </c>
      <c r="E324" s="42" t="s">
        <v>818</v>
      </c>
      <c r="F324" s="43" t="s">
        <v>819</v>
      </c>
      <c r="G324" s="14">
        <v>0</v>
      </c>
      <c r="H324" s="2"/>
      <c r="I324" s="19"/>
      <c r="J324" s="14">
        <v>0</v>
      </c>
      <c r="K324" s="2"/>
      <c r="L324" s="19"/>
      <c r="M324" s="14">
        <v>0</v>
      </c>
      <c r="N324" s="2"/>
      <c r="O324" s="14">
        <v>0</v>
      </c>
      <c r="P324" s="2"/>
      <c r="Q324" s="14">
        <v>0</v>
      </c>
      <c r="R324" s="2"/>
      <c r="S324" s="44">
        <f>[1]!DDIFF(0,0)</f>
        <v>0</v>
      </c>
      <c r="T324" s="2"/>
      <c r="U324" s="1"/>
      <c r="V324" s="62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</row>
    <row r="325" spans="1:67" hidden="1" x14ac:dyDescent="0.25">
      <c r="A325" t="s">
        <v>820</v>
      </c>
      <c r="E325" s="42" t="s">
        <v>821</v>
      </c>
      <c r="F325" s="43" t="s">
        <v>822</v>
      </c>
      <c r="G325" s="14">
        <v>0</v>
      </c>
      <c r="H325" s="2"/>
      <c r="I325" s="19"/>
      <c r="J325" s="14">
        <v>0</v>
      </c>
      <c r="K325" s="2"/>
      <c r="L325" s="19"/>
      <c r="M325" s="14">
        <v>0</v>
      </c>
      <c r="N325" s="2"/>
      <c r="O325" s="14">
        <v>0</v>
      </c>
      <c r="P325" s="2"/>
      <c r="Q325" s="14">
        <v>0</v>
      </c>
      <c r="R325" s="2"/>
      <c r="S325" s="44">
        <f>[1]!DDIFF(0,0)</f>
        <v>0</v>
      </c>
      <c r="T325" s="2"/>
      <c r="U325" s="1"/>
      <c r="V325" s="62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</row>
    <row r="326" spans="1:67" hidden="1" x14ac:dyDescent="0.25">
      <c r="A326" t="s">
        <v>823</v>
      </c>
      <c r="E326" s="42" t="s">
        <v>824</v>
      </c>
      <c r="F326" s="43" t="s">
        <v>825</v>
      </c>
      <c r="G326" s="14">
        <v>0</v>
      </c>
      <c r="H326" s="2"/>
      <c r="I326" s="19"/>
      <c r="J326" s="14">
        <v>0</v>
      </c>
      <c r="K326" s="2"/>
      <c r="L326" s="19"/>
      <c r="M326" s="14">
        <v>0</v>
      </c>
      <c r="N326" s="2"/>
      <c r="O326" s="14">
        <v>0</v>
      </c>
      <c r="P326" s="2"/>
      <c r="Q326" s="14">
        <v>0</v>
      </c>
      <c r="R326" s="2"/>
      <c r="S326" s="44">
        <f>[1]!DDIFF(0,0)</f>
        <v>0</v>
      </c>
      <c r="T326" s="2"/>
      <c r="U326" s="1"/>
      <c r="V326" s="62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</row>
    <row r="327" spans="1:67" hidden="1" x14ac:dyDescent="0.25">
      <c r="A327" t="s">
        <v>826</v>
      </c>
      <c r="E327" s="42" t="s">
        <v>827</v>
      </c>
      <c r="F327" s="43" t="s">
        <v>828</v>
      </c>
      <c r="G327" s="14">
        <v>0</v>
      </c>
      <c r="H327" s="2"/>
      <c r="I327" s="19"/>
      <c r="J327" s="14">
        <v>0</v>
      </c>
      <c r="K327" s="2"/>
      <c r="L327" s="19"/>
      <c r="M327" s="14">
        <v>0</v>
      </c>
      <c r="N327" s="2"/>
      <c r="O327" s="14">
        <v>0</v>
      </c>
      <c r="P327" s="2"/>
      <c r="Q327" s="14">
        <v>0</v>
      </c>
      <c r="R327" s="2"/>
      <c r="S327" s="44">
        <f>[1]!DDIFF(0,0)</f>
        <v>0</v>
      </c>
      <c r="T327" s="2"/>
      <c r="U327" s="1"/>
      <c r="V327" s="62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</row>
    <row r="328" spans="1:67" collapsed="1" x14ac:dyDescent="0.25">
      <c r="A328" t="s">
        <v>829</v>
      </c>
      <c r="E328" s="42" t="s">
        <v>830</v>
      </c>
      <c r="F328" s="43" t="s">
        <v>804</v>
      </c>
      <c r="G328" s="14">
        <v>-1150851</v>
      </c>
      <c r="H328" s="2"/>
      <c r="I328" s="19"/>
      <c r="J328" s="14">
        <v>59532</v>
      </c>
      <c r="K328" s="2"/>
      <c r="L328" s="19"/>
      <c r="M328" s="14">
        <v>0</v>
      </c>
      <c r="N328" s="2"/>
      <c r="O328" s="14">
        <v>-1091319</v>
      </c>
      <c r="P328" s="55" t="s">
        <v>2863</v>
      </c>
      <c r="Q328" s="14">
        <v>-1150851</v>
      </c>
      <c r="R328" s="2"/>
      <c r="S328" s="44">
        <f>[1]!DDIFF(-1150851,-1091319)</f>
        <v>59532</v>
      </c>
      <c r="T328" s="2"/>
      <c r="U328" s="1"/>
      <c r="V328" s="62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</row>
    <row r="329" spans="1:67" hidden="1" outlineLevel="1" x14ac:dyDescent="0.25">
      <c r="A329" t="s">
        <v>2797</v>
      </c>
      <c r="E329" s="7"/>
      <c r="F329" s="10"/>
      <c r="G329" s="14"/>
      <c r="H329" s="2"/>
      <c r="I329" s="54" t="s">
        <v>2785</v>
      </c>
      <c r="J329" s="14">
        <v>69625</v>
      </c>
      <c r="K329" s="2"/>
      <c r="L329" s="19"/>
      <c r="M329" s="14"/>
      <c r="N329" s="2"/>
      <c r="O329" s="14"/>
      <c r="P329" s="2"/>
      <c r="Q329" s="14"/>
      <c r="R329" s="2"/>
      <c r="S329" s="14"/>
      <c r="T329" s="2"/>
      <c r="U329" s="1"/>
      <c r="V329" s="62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</row>
    <row r="330" spans="1:67" hidden="1" outlineLevel="1" x14ac:dyDescent="0.25">
      <c r="A330" t="s">
        <v>2830</v>
      </c>
      <c r="E330" s="7"/>
      <c r="F330" s="10"/>
      <c r="G330" s="14"/>
      <c r="H330" s="2"/>
      <c r="I330" s="54" t="s">
        <v>2829</v>
      </c>
      <c r="J330" s="14">
        <v>-10093</v>
      </c>
      <c r="K330" s="2"/>
      <c r="L330" s="19"/>
      <c r="M330" s="14"/>
      <c r="N330" s="2"/>
      <c r="O330" s="14"/>
      <c r="P330" s="2"/>
      <c r="Q330" s="14"/>
      <c r="R330" s="2"/>
      <c r="S330" s="14"/>
      <c r="T330" s="2"/>
      <c r="U330" s="1"/>
      <c r="V330" s="62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</row>
    <row r="331" spans="1:67" hidden="1" x14ac:dyDescent="0.25">
      <c r="A331" t="s">
        <v>831</v>
      </c>
      <c r="E331" s="42" t="s">
        <v>832</v>
      </c>
      <c r="F331" s="43" t="s">
        <v>833</v>
      </c>
      <c r="G331" s="14">
        <v>0</v>
      </c>
      <c r="H331" s="2"/>
      <c r="I331" s="19"/>
      <c r="J331" s="14">
        <v>0</v>
      </c>
      <c r="K331" s="2"/>
      <c r="L331" s="19"/>
      <c r="M331" s="14">
        <v>0</v>
      </c>
      <c r="N331" s="2"/>
      <c r="O331" s="14">
        <v>0</v>
      </c>
      <c r="P331" s="2"/>
      <c r="Q331" s="14">
        <v>0</v>
      </c>
      <c r="R331" s="2"/>
      <c r="S331" s="44">
        <f>[1]!DDIFF(0,0)</f>
        <v>0</v>
      </c>
      <c r="T331" s="2"/>
      <c r="U331" s="1"/>
      <c r="V331" s="62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</row>
    <row r="332" spans="1:67" hidden="1" x14ac:dyDescent="0.25">
      <c r="A332" t="s">
        <v>834</v>
      </c>
      <c r="E332" s="42" t="s">
        <v>835</v>
      </c>
      <c r="F332" s="43" t="s">
        <v>836</v>
      </c>
      <c r="G332" s="14">
        <v>0</v>
      </c>
      <c r="H332" s="2"/>
      <c r="I332" s="19"/>
      <c r="J332" s="14">
        <v>0</v>
      </c>
      <c r="K332" s="2"/>
      <c r="L332" s="19"/>
      <c r="M332" s="14">
        <v>0</v>
      </c>
      <c r="N332" s="2"/>
      <c r="O332" s="14">
        <v>0</v>
      </c>
      <c r="P332" s="2"/>
      <c r="Q332" s="14">
        <v>0</v>
      </c>
      <c r="R332" s="2"/>
      <c r="S332" s="44">
        <f>[1]!DDIFF(0,0)</f>
        <v>0</v>
      </c>
      <c r="T332" s="2"/>
      <c r="U332" s="1"/>
      <c r="V332" s="62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</row>
    <row r="333" spans="1:67" hidden="1" x14ac:dyDescent="0.25">
      <c r="A333" t="s">
        <v>837</v>
      </c>
      <c r="E333" s="42" t="s">
        <v>838</v>
      </c>
      <c r="F333" s="43" t="s">
        <v>839</v>
      </c>
      <c r="G333" s="14">
        <v>0</v>
      </c>
      <c r="H333" s="2"/>
      <c r="I333" s="19"/>
      <c r="J333" s="14">
        <v>0</v>
      </c>
      <c r="K333" s="2"/>
      <c r="L333" s="19"/>
      <c r="M333" s="14">
        <v>0</v>
      </c>
      <c r="N333" s="2"/>
      <c r="O333" s="14">
        <v>0</v>
      </c>
      <c r="P333" s="2"/>
      <c r="Q333" s="14">
        <v>0</v>
      </c>
      <c r="R333" s="2"/>
      <c r="S333" s="44">
        <f>[1]!DDIFF(0,0)</f>
        <v>0</v>
      </c>
      <c r="T333" s="2"/>
      <c r="U333" s="1"/>
      <c r="V333" s="62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</row>
    <row r="334" spans="1:67" hidden="1" x14ac:dyDescent="0.25">
      <c r="A334" t="s">
        <v>840</v>
      </c>
      <c r="E334" s="42" t="s">
        <v>841</v>
      </c>
      <c r="F334" s="43" t="s">
        <v>842</v>
      </c>
      <c r="G334" s="14">
        <v>0</v>
      </c>
      <c r="H334" s="2"/>
      <c r="I334" s="19"/>
      <c r="J334" s="14">
        <v>0</v>
      </c>
      <c r="K334" s="2"/>
      <c r="L334" s="19"/>
      <c r="M334" s="14">
        <v>0</v>
      </c>
      <c r="N334" s="2"/>
      <c r="O334" s="14">
        <v>0</v>
      </c>
      <c r="P334" s="2"/>
      <c r="Q334" s="14">
        <v>0</v>
      </c>
      <c r="R334" s="2"/>
      <c r="S334" s="44">
        <f>[1]!DDIFF(0,0)</f>
        <v>0</v>
      </c>
      <c r="T334" s="2"/>
      <c r="U334" s="1"/>
      <c r="V334" s="62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</row>
    <row r="335" spans="1:67" hidden="1" x14ac:dyDescent="0.25">
      <c r="A335" t="s">
        <v>843</v>
      </c>
      <c r="E335" s="42" t="s">
        <v>844</v>
      </c>
      <c r="F335" s="43" t="s">
        <v>845</v>
      </c>
      <c r="G335" s="14">
        <v>0</v>
      </c>
      <c r="H335" s="2"/>
      <c r="I335" s="19"/>
      <c r="J335" s="14">
        <v>0</v>
      </c>
      <c r="K335" s="2"/>
      <c r="L335" s="19"/>
      <c r="M335" s="14">
        <v>0</v>
      </c>
      <c r="N335" s="2"/>
      <c r="O335" s="14">
        <v>0</v>
      </c>
      <c r="P335" s="2"/>
      <c r="Q335" s="14">
        <v>0</v>
      </c>
      <c r="R335" s="2"/>
      <c r="S335" s="44">
        <f>[1]!DDIFF(0,0)</f>
        <v>0</v>
      </c>
      <c r="T335" s="2"/>
      <c r="U335" s="1"/>
      <c r="V335" s="62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</row>
    <row r="336" spans="1:67" hidden="1" x14ac:dyDescent="0.25">
      <c r="A336" t="s">
        <v>846</v>
      </c>
      <c r="E336" s="42" t="s">
        <v>847</v>
      </c>
      <c r="F336" s="43" t="s">
        <v>848</v>
      </c>
      <c r="G336" s="14">
        <v>0</v>
      </c>
      <c r="H336" s="2"/>
      <c r="I336" s="19"/>
      <c r="J336" s="14">
        <v>0</v>
      </c>
      <c r="K336" s="2"/>
      <c r="L336" s="19"/>
      <c r="M336" s="14">
        <v>0</v>
      </c>
      <c r="N336" s="2"/>
      <c r="O336" s="14">
        <v>0</v>
      </c>
      <c r="P336" s="2"/>
      <c r="Q336" s="14">
        <v>0</v>
      </c>
      <c r="R336" s="2"/>
      <c r="S336" s="44">
        <f>[1]!DDIFF(0,0)</f>
        <v>0</v>
      </c>
      <c r="T336" s="2"/>
      <c r="U336" s="1"/>
      <c r="V336" s="62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</row>
    <row r="337" spans="1:67" x14ac:dyDescent="0.25">
      <c r="A337" t="s">
        <v>849</v>
      </c>
      <c r="E337" s="45" t="s">
        <v>850</v>
      </c>
      <c r="F337" s="46" t="s">
        <v>774</v>
      </c>
      <c r="G337" s="15">
        <v>-41144099</v>
      </c>
      <c r="H337" s="3"/>
      <c r="I337" s="20"/>
      <c r="J337" s="15">
        <v>221008</v>
      </c>
      <c r="K337" s="3"/>
      <c r="L337" s="20"/>
      <c r="M337" s="15">
        <v>0</v>
      </c>
      <c r="N337" s="3"/>
      <c r="O337" s="15">
        <v>-40923091</v>
      </c>
      <c r="P337" s="3"/>
      <c r="Q337" s="15">
        <v>-38681099</v>
      </c>
      <c r="R337" s="3"/>
      <c r="S337" s="47">
        <f>[1]!DDIFF(-38681099,-40923091)</f>
        <v>-2241992</v>
      </c>
      <c r="T337" s="3"/>
      <c r="U337" s="1"/>
      <c r="V337" s="62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</row>
    <row r="338" spans="1:67" x14ac:dyDescent="0.25">
      <c r="A338" t="s">
        <v>851</v>
      </c>
      <c r="H338" s="1"/>
      <c r="K338" s="1"/>
      <c r="N338" s="1"/>
      <c r="P338" s="1"/>
      <c r="R338" s="1"/>
      <c r="T338" s="1"/>
      <c r="U338" s="1"/>
      <c r="V338" s="62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</row>
    <row r="339" spans="1:67" hidden="1" x14ac:dyDescent="0.25">
      <c r="A339" t="s">
        <v>852</v>
      </c>
      <c r="E339" s="40" t="s">
        <v>190</v>
      </c>
      <c r="F339" s="11"/>
      <c r="H339" s="1"/>
      <c r="K339" s="1"/>
      <c r="N339" s="1"/>
      <c r="P339" s="1"/>
      <c r="R339" s="1"/>
      <c r="T339" s="1"/>
      <c r="U339" s="1"/>
      <c r="V339" s="62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</row>
    <row r="340" spans="1:67" hidden="1" x14ac:dyDescent="0.25">
      <c r="A340" t="s">
        <v>853</v>
      </c>
      <c r="E340" s="45" t="s">
        <v>192</v>
      </c>
      <c r="F340" s="12"/>
      <c r="G340" s="15">
        <v>0</v>
      </c>
      <c r="H340" s="3"/>
      <c r="I340" s="20"/>
      <c r="J340" s="15">
        <v>0</v>
      </c>
      <c r="K340" s="3"/>
      <c r="L340" s="20"/>
      <c r="M340" s="15">
        <v>0</v>
      </c>
      <c r="N340" s="3"/>
      <c r="O340" s="15">
        <v>0</v>
      </c>
      <c r="P340" s="3"/>
      <c r="Q340" s="15">
        <v>0</v>
      </c>
      <c r="R340" s="3"/>
      <c r="S340" s="47">
        <f>[1]!DDIFF(0,0)</f>
        <v>0</v>
      </c>
      <c r="T340" s="3"/>
      <c r="U340" s="1"/>
      <c r="V340" s="62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</row>
    <row r="341" spans="1:67" x14ac:dyDescent="0.25">
      <c r="A341" t="s">
        <v>854</v>
      </c>
      <c r="E341" s="48" t="s">
        <v>855</v>
      </c>
      <c r="F341" s="49" t="s">
        <v>596</v>
      </c>
      <c r="G341" s="16">
        <v>70225270</v>
      </c>
      <c r="H341" s="4"/>
      <c r="I341" s="21"/>
      <c r="J341" s="16">
        <v>2306251</v>
      </c>
      <c r="K341" s="4"/>
      <c r="L341" s="21"/>
      <c r="M341" s="16">
        <v>0</v>
      </c>
      <c r="N341" s="4"/>
      <c r="O341" s="16">
        <v>72531521</v>
      </c>
      <c r="P341" s="4"/>
      <c r="Q341" s="16">
        <v>69902242</v>
      </c>
      <c r="R341" s="4"/>
      <c r="S341" s="50">
        <f>[1]!DDIFF(69902242,72531521)</f>
        <v>2629279</v>
      </c>
      <c r="T341" s="4"/>
      <c r="U341" s="1"/>
      <c r="V341" s="62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</row>
    <row r="342" spans="1:67" x14ac:dyDescent="0.25">
      <c r="A342" t="s">
        <v>856</v>
      </c>
      <c r="H342" s="1"/>
      <c r="K342" s="1"/>
      <c r="N342" s="1"/>
      <c r="P342" s="1"/>
      <c r="R342" s="1"/>
      <c r="T342" s="1"/>
      <c r="U342" s="1"/>
      <c r="V342" s="62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</row>
    <row r="343" spans="1:67" x14ac:dyDescent="0.25">
      <c r="A343" t="s">
        <v>857</v>
      </c>
      <c r="E343" s="38" t="s">
        <v>858</v>
      </c>
      <c r="F343" s="39" t="s">
        <v>859</v>
      </c>
      <c r="H343" s="1"/>
      <c r="K343" s="1"/>
      <c r="N343" s="1"/>
      <c r="P343" s="1"/>
      <c r="R343" s="1"/>
      <c r="T343" s="1"/>
      <c r="U343" s="1"/>
      <c r="V343" s="62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</row>
    <row r="344" spans="1:67" x14ac:dyDescent="0.25">
      <c r="A344" t="s">
        <v>860</v>
      </c>
      <c r="E344" s="40" t="s">
        <v>2661</v>
      </c>
      <c r="F344" s="41" t="s">
        <v>2839</v>
      </c>
      <c r="H344" s="1"/>
      <c r="K344" s="1"/>
      <c r="N344" s="1"/>
      <c r="P344" s="1"/>
      <c r="R344" s="1"/>
      <c r="T344" s="1"/>
      <c r="U344" s="1"/>
      <c r="V344" s="62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</row>
    <row r="345" spans="1:67" x14ac:dyDescent="0.25">
      <c r="A345" t="s">
        <v>862</v>
      </c>
      <c r="E345" s="42" t="s">
        <v>863</v>
      </c>
      <c r="F345" s="43" t="s">
        <v>864</v>
      </c>
      <c r="G345" s="14">
        <v>3861371</v>
      </c>
      <c r="H345" s="2"/>
      <c r="I345" s="19"/>
      <c r="J345" s="14">
        <v>0</v>
      </c>
      <c r="K345" s="2"/>
      <c r="L345" s="19"/>
      <c r="M345" s="14">
        <v>0</v>
      </c>
      <c r="N345" s="2"/>
      <c r="O345" s="14">
        <v>3861371</v>
      </c>
      <c r="P345" s="55" t="s">
        <v>2863</v>
      </c>
      <c r="Q345" s="14">
        <v>2610347</v>
      </c>
      <c r="R345" s="2"/>
      <c r="S345" s="44">
        <f>[1]!DDIFF(2610347,3861371)</f>
        <v>1251024</v>
      </c>
      <c r="T345" s="2"/>
      <c r="U345" s="1"/>
      <c r="V345" s="62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</row>
    <row r="346" spans="1:67" collapsed="1" x14ac:dyDescent="0.25">
      <c r="A346" t="s">
        <v>865</v>
      </c>
      <c r="E346" s="42" t="s">
        <v>866</v>
      </c>
      <c r="F346" s="43" t="s">
        <v>867</v>
      </c>
      <c r="G346" s="14">
        <v>19919894</v>
      </c>
      <c r="H346" s="2"/>
      <c r="I346" s="19"/>
      <c r="J346" s="14">
        <v>1929806</v>
      </c>
      <c r="K346" s="2"/>
      <c r="L346" s="19"/>
      <c r="M346" s="14">
        <v>0</v>
      </c>
      <c r="N346" s="2"/>
      <c r="O346" s="14">
        <v>21849700</v>
      </c>
      <c r="P346" s="55" t="s">
        <v>2863</v>
      </c>
      <c r="Q346" s="14">
        <v>19919894</v>
      </c>
      <c r="R346" s="2"/>
      <c r="S346" s="44">
        <f>[1]!DDIFF(19919894,21849700)</f>
        <v>1929806</v>
      </c>
      <c r="T346" s="2"/>
      <c r="U346" s="1"/>
      <c r="V346" s="62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</row>
    <row r="347" spans="1:67" hidden="1" outlineLevel="1" x14ac:dyDescent="0.25">
      <c r="A347" t="s">
        <v>2831</v>
      </c>
      <c r="E347" s="7"/>
      <c r="F347" s="10"/>
      <c r="G347" s="14"/>
      <c r="H347" s="2"/>
      <c r="I347" s="54" t="s">
        <v>2829</v>
      </c>
      <c r="J347" s="14">
        <v>1929806</v>
      </c>
      <c r="K347" s="2"/>
      <c r="L347" s="19"/>
      <c r="M347" s="14"/>
      <c r="N347" s="2"/>
      <c r="O347" s="14"/>
      <c r="P347" s="2"/>
      <c r="Q347" s="14"/>
      <c r="R347" s="2"/>
      <c r="S347" s="14"/>
      <c r="T347" s="2"/>
      <c r="U347" s="1"/>
      <c r="V347" s="62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</row>
    <row r="348" spans="1:67" collapsed="1" x14ac:dyDescent="0.25">
      <c r="A348" t="s">
        <v>868</v>
      </c>
      <c r="E348" s="42" t="s">
        <v>869</v>
      </c>
      <c r="F348" s="43" t="s">
        <v>870</v>
      </c>
      <c r="G348" s="14">
        <v>-35729101</v>
      </c>
      <c r="H348" s="2"/>
      <c r="I348" s="19"/>
      <c r="J348" s="14">
        <v>-2164699</v>
      </c>
      <c r="K348" s="2"/>
      <c r="L348" s="19"/>
      <c r="M348" s="14">
        <v>0</v>
      </c>
      <c r="N348" s="2"/>
      <c r="O348" s="14">
        <v>-37893800</v>
      </c>
      <c r="P348" s="55" t="s">
        <v>2863</v>
      </c>
      <c r="Q348" s="14">
        <v>-32298673</v>
      </c>
      <c r="R348" s="2"/>
      <c r="S348" s="44">
        <f>[1]!DDIFF(-32298673,-37893800)</f>
        <v>-5595127</v>
      </c>
      <c r="T348" s="2"/>
      <c r="U348" s="1"/>
      <c r="V348" s="62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</row>
    <row r="349" spans="1:67" hidden="1" outlineLevel="1" x14ac:dyDescent="0.25">
      <c r="A349" t="s">
        <v>2703</v>
      </c>
      <c r="E349" s="7"/>
      <c r="F349" s="10"/>
      <c r="G349" s="14"/>
      <c r="H349" s="2"/>
      <c r="I349" s="54" t="s">
        <v>2701</v>
      </c>
      <c r="J349" s="14">
        <v>30759</v>
      </c>
      <c r="K349" s="2"/>
      <c r="L349" s="19"/>
      <c r="M349" s="14"/>
      <c r="N349" s="2"/>
      <c r="O349" s="14"/>
      <c r="P349" s="2"/>
      <c r="Q349" s="14"/>
      <c r="R349" s="2"/>
      <c r="S349" s="14"/>
      <c r="T349" s="2"/>
      <c r="U349" s="1"/>
      <c r="V349" s="62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</row>
    <row r="350" spans="1:67" hidden="1" outlineLevel="1" x14ac:dyDescent="0.25">
      <c r="A350" t="s">
        <v>2739</v>
      </c>
      <c r="E350" s="7"/>
      <c r="F350" s="10"/>
      <c r="G350" s="14"/>
      <c r="H350" s="2"/>
      <c r="I350" s="54" t="s">
        <v>2736</v>
      </c>
      <c r="J350" s="14">
        <v>-2164412</v>
      </c>
      <c r="K350" s="2"/>
      <c r="L350" s="19"/>
      <c r="M350" s="14"/>
      <c r="N350" s="2"/>
      <c r="O350" s="14"/>
      <c r="P350" s="2"/>
      <c r="Q350" s="14"/>
      <c r="R350" s="2"/>
      <c r="S350" s="14"/>
      <c r="T350" s="2"/>
      <c r="U350" s="1"/>
      <c r="V350" s="62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</row>
    <row r="351" spans="1:67" hidden="1" outlineLevel="1" x14ac:dyDescent="0.25">
      <c r="A351" t="s">
        <v>2786</v>
      </c>
      <c r="E351" s="7"/>
      <c r="F351" s="10"/>
      <c r="G351" s="14"/>
      <c r="H351" s="2"/>
      <c r="I351" s="54" t="s">
        <v>2785</v>
      </c>
      <c r="J351" s="14">
        <v>-11000</v>
      </c>
      <c r="K351" s="2"/>
      <c r="L351" s="19"/>
      <c r="M351" s="14"/>
      <c r="N351" s="2"/>
      <c r="O351" s="14"/>
      <c r="P351" s="2"/>
      <c r="Q351" s="14"/>
      <c r="R351" s="2"/>
      <c r="S351" s="14"/>
      <c r="T351" s="2"/>
      <c r="U351" s="1"/>
      <c r="V351" s="62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</row>
    <row r="352" spans="1:67" hidden="1" outlineLevel="1" x14ac:dyDescent="0.25">
      <c r="A352" t="s">
        <v>2809</v>
      </c>
      <c r="E352" s="7"/>
      <c r="F352" s="10"/>
      <c r="G352" s="14"/>
      <c r="H352" s="2"/>
      <c r="I352" s="54" t="s">
        <v>2810</v>
      </c>
      <c r="J352" s="14">
        <v>-20046</v>
      </c>
      <c r="K352" s="2"/>
      <c r="L352" s="19"/>
      <c r="M352" s="14"/>
      <c r="N352" s="2"/>
      <c r="O352" s="14"/>
      <c r="P352" s="2"/>
      <c r="Q352" s="14"/>
      <c r="R352" s="2"/>
      <c r="S352" s="14"/>
      <c r="T352" s="2"/>
      <c r="U352" s="1"/>
      <c r="V352" s="62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</row>
    <row r="353" spans="1:67" hidden="1" x14ac:dyDescent="0.25">
      <c r="A353" t="s">
        <v>871</v>
      </c>
      <c r="E353" s="42" t="s">
        <v>872</v>
      </c>
      <c r="F353" s="43" t="s">
        <v>873</v>
      </c>
      <c r="G353" s="14">
        <v>0</v>
      </c>
      <c r="H353" s="2"/>
      <c r="I353" s="19"/>
      <c r="J353" s="14">
        <v>0</v>
      </c>
      <c r="K353" s="2"/>
      <c r="L353" s="19"/>
      <c r="M353" s="14">
        <v>0</v>
      </c>
      <c r="N353" s="2"/>
      <c r="O353" s="14">
        <v>0</v>
      </c>
      <c r="P353" s="2"/>
      <c r="Q353" s="14">
        <v>0</v>
      </c>
      <c r="R353" s="2"/>
      <c r="S353" s="44">
        <f>[1]!DDIFF(0,0)</f>
        <v>0</v>
      </c>
      <c r="T353" s="2"/>
      <c r="U353" s="1"/>
      <c r="V353" s="62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</row>
    <row r="354" spans="1:67" x14ac:dyDescent="0.25">
      <c r="A354" t="s">
        <v>874</v>
      </c>
      <c r="E354" s="42" t="s">
        <v>875</v>
      </c>
      <c r="F354" s="43" t="s">
        <v>876</v>
      </c>
      <c r="G354" s="14">
        <v>-2808540</v>
      </c>
      <c r="H354" s="2"/>
      <c r="I354" s="19"/>
      <c r="J354" s="14">
        <v>0</v>
      </c>
      <c r="K354" s="2"/>
      <c r="L354" s="19"/>
      <c r="M354" s="14">
        <v>0</v>
      </c>
      <c r="N354" s="2"/>
      <c r="O354" s="14">
        <v>-2808540</v>
      </c>
      <c r="P354" s="55" t="s">
        <v>2865</v>
      </c>
      <c r="Q354" s="14">
        <v>-2808540</v>
      </c>
      <c r="R354" s="2"/>
      <c r="S354" s="44">
        <f>[1]!DDIFF(-2808540,-2808540)</f>
        <v>0</v>
      </c>
      <c r="T354" s="2"/>
      <c r="U354" s="55" t="s">
        <v>2865</v>
      </c>
      <c r="V354" s="62">
        <f>+O354+O355+O357+O359</f>
        <v>10680681</v>
      </c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</row>
    <row r="355" spans="1:67" collapsed="1" x14ac:dyDescent="0.25">
      <c r="A355" t="s">
        <v>877</v>
      </c>
      <c r="E355" s="42" t="s">
        <v>878</v>
      </c>
      <c r="F355" s="43" t="s">
        <v>864</v>
      </c>
      <c r="G355" s="14">
        <v>32341031</v>
      </c>
      <c r="H355" s="2"/>
      <c r="I355" s="19"/>
      <c r="J355" s="14">
        <v>-760</v>
      </c>
      <c r="K355" s="2"/>
      <c r="L355" s="19"/>
      <c r="M355" s="14">
        <v>0</v>
      </c>
      <c r="N355" s="2"/>
      <c r="O355" s="14">
        <v>32340271</v>
      </c>
      <c r="P355" s="55" t="s">
        <v>2865</v>
      </c>
      <c r="Q355" s="14">
        <v>29407420</v>
      </c>
      <c r="R355" s="2"/>
      <c r="S355" s="44">
        <f>[1]!DDIFF(29407420,32340271)</f>
        <v>2932851</v>
      </c>
      <c r="T355" s="2"/>
      <c r="U355" s="1"/>
      <c r="V355" s="62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</row>
    <row r="356" spans="1:67" hidden="1" outlineLevel="1" x14ac:dyDescent="0.25">
      <c r="A356" t="s">
        <v>2772</v>
      </c>
      <c r="E356" s="7"/>
      <c r="F356" s="10"/>
      <c r="G356" s="14"/>
      <c r="H356" s="2"/>
      <c r="I356" s="54" t="s">
        <v>2736</v>
      </c>
      <c r="J356" s="14">
        <v>-760</v>
      </c>
      <c r="K356" s="2"/>
      <c r="L356" s="19"/>
      <c r="M356" s="14"/>
      <c r="N356" s="2"/>
      <c r="O356" s="14"/>
      <c r="P356" s="55" t="s">
        <v>2865</v>
      </c>
      <c r="Q356" s="14"/>
      <c r="R356" s="2"/>
      <c r="S356" s="14"/>
      <c r="T356" s="2"/>
      <c r="U356" s="1"/>
      <c r="V356" s="62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</row>
    <row r="357" spans="1:67" collapsed="1" x14ac:dyDescent="0.25">
      <c r="A357" t="s">
        <v>879</v>
      </c>
      <c r="E357" s="42" t="s">
        <v>880</v>
      </c>
      <c r="F357" s="43" t="s">
        <v>881</v>
      </c>
      <c r="G357" s="14">
        <v>-17111354</v>
      </c>
      <c r="H357" s="2"/>
      <c r="I357" s="19"/>
      <c r="J357" s="14">
        <v>-1929806</v>
      </c>
      <c r="K357" s="2"/>
      <c r="L357" s="19"/>
      <c r="M357" s="14">
        <v>0</v>
      </c>
      <c r="N357" s="2"/>
      <c r="O357" s="14">
        <v>-19041160</v>
      </c>
      <c r="P357" s="55" t="s">
        <v>2865</v>
      </c>
      <c r="Q357" s="14">
        <v>-17111354</v>
      </c>
      <c r="R357" s="2"/>
      <c r="S357" s="44">
        <f>[1]!DDIFF(-17111354,-19041160)</f>
        <v>-1929806</v>
      </c>
      <c r="T357" s="2"/>
      <c r="U357" s="1"/>
      <c r="V357" s="62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</row>
    <row r="358" spans="1:67" hidden="1" outlineLevel="1" x14ac:dyDescent="0.25">
      <c r="A358" t="s">
        <v>2832</v>
      </c>
      <c r="E358" s="7"/>
      <c r="F358" s="10"/>
      <c r="G358" s="14"/>
      <c r="H358" s="2"/>
      <c r="I358" s="54" t="s">
        <v>2829</v>
      </c>
      <c r="J358" s="14">
        <v>-1929806</v>
      </c>
      <c r="K358" s="2"/>
      <c r="L358" s="19"/>
      <c r="M358" s="14"/>
      <c r="N358" s="2"/>
      <c r="O358" s="14"/>
      <c r="P358" s="55" t="s">
        <v>2865</v>
      </c>
      <c r="Q358" s="14"/>
      <c r="R358" s="2"/>
      <c r="S358" s="14"/>
      <c r="T358" s="2"/>
      <c r="U358" s="1"/>
      <c r="V358" s="62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</row>
    <row r="359" spans="1:67" collapsed="1" x14ac:dyDescent="0.25">
      <c r="A359" t="s">
        <v>882</v>
      </c>
      <c r="E359" s="42" t="s">
        <v>883</v>
      </c>
      <c r="F359" s="43" t="s">
        <v>870</v>
      </c>
      <c r="G359" s="14">
        <v>195058</v>
      </c>
      <c r="H359" s="2"/>
      <c r="I359" s="19"/>
      <c r="J359" s="14">
        <v>-4948</v>
      </c>
      <c r="K359" s="2"/>
      <c r="L359" s="19"/>
      <c r="M359" s="14">
        <v>0</v>
      </c>
      <c r="N359" s="2"/>
      <c r="O359" s="14">
        <v>190110</v>
      </c>
      <c r="P359" s="55" t="s">
        <v>2865</v>
      </c>
      <c r="Q359" s="14">
        <v>124487</v>
      </c>
      <c r="R359" s="2"/>
      <c r="S359" s="44">
        <f>[1]!DDIFF(124487,190110)</f>
        <v>65623</v>
      </c>
      <c r="T359" s="2"/>
      <c r="U359" s="1"/>
      <c r="V359" s="62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</row>
    <row r="360" spans="1:67" hidden="1" outlineLevel="1" x14ac:dyDescent="0.25">
      <c r="A360" t="s">
        <v>2855</v>
      </c>
      <c r="E360" s="7"/>
      <c r="F360" s="10"/>
      <c r="G360" s="14"/>
      <c r="H360" s="2"/>
      <c r="I360" s="54" t="s">
        <v>2856</v>
      </c>
      <c r="J360" s="14">
        <v>-4948</v>
      </c>
      <c r="K360" s="2"/>
      <c r="L360" s="19"/>
      <c r="M360" s="14"/>
      <c r="N360" s="2"/>
      <c r="O360" s="14"/>
      <c r="P360" s="2"/>
      <c r="Q360" s="14"/>
      <c r="R360" s="2"/>
      <c r="S360" s="14"/>
      <c r="T360" s="2"/>
      <c r="U360" s="1"/>
      <c r="V360" s="62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</row>
    <row r="361" spans="1:67" collapsed="1" x14ac:dyDescent="0.25">
      <c r="A361" t="s">
        <v>884</v>
      </c>
      <c r="E361" s="42" t="s">
        <v>885</v>
      </c>
      <c r="F361" s="43" t="s">
        <v>886</v>
      </c>
      <c r="G361" s="14">
        <v>-1271503</v>
      </c>
      <c r="H361" s="2"/>
      <c r="I361" s="19"/>
      <c r="J361" s="14">
        <v>2164699</v>
      </c>
      <c r="K361" s="2"/>
      <c r="L361" s="19"/>
      <c r="M361" s="14">
        <v>0</v>
      </c>
      <c r="N361" s="2"/>
      <c r="O361" s="14">
        <v>893196</v>
      </c>
      <c r="P361" s="55" t="s">
        <v>2863</v>
      </c>
      <c r="Q361" s="14">
        <v>-1288973</v>
      </c>
      <c r="R361" s="2"/>
      <c r="S361" s="44">
        <f>[1]!DDIFF(-1288973,893196)</f>
        <v>2182169</v>
      </c>
      <c r="T361" s="2"/>
      <c r="U361" s="1"/>
      <c r="V361" s="62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</row>
    <row r="362" spans="1:67" hidden="1" outlineLevel="1" x14ac:dyDescent="0.25">
      <c r="A362" t="s">
        <v>2704</v>
      </c>
      <c r="E362" s="7"/>
      <c r="F362" s="10"/>
      <c r="G362" s="14"/>
      <c r="H362" s="2"/>
      <c r="I362" s="54" t="s">
        <v>2701</v>
      </c>
      <c r="J362" s="14">
        <v>-2874</v>
      </c>
      <c r="K362" s="2"/>
      <c r="L362" s="19"/>
      <c r="M362" s="14"/>
      <c r="N362" s="2"/>
      <c r="O362" s="14"/>
      <c r="P362" s="2"/>
      <c r="Q362" s="14"/>
      <c r="R362" s="2"/>
      <c r="S362" s="14"/>
      <c r="T362" s="2"/>
      <c r="U362" s="1"/>
      <c r="V362" s="62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</row>
    <row r="363" spans="1:67" hidden="1" outlineLevel="1" x14ac:dyDescent="0.25">
      <c r="A363" t="s">
        <v>2705</v>
      </c>
      <c r="E363" s="7"/>
      <c r="F363" s="10"/>
      <c r="G363" s="14"/>
      <c r="H363" s="2"/>
      <c r="I363" s="54" t="s">
        <v>2701</v>
      </c>
      <c r="J363" s="14">
        <v>-27885</v>
      </c>
      <c r="K363" s="2"/>
      <c r="L363" s="19"/>
      <c r="M363" s="14"/>
      <c r="N363" s="2"/>
      <c r="O363" s="14"/>
      <c r="P363" s="2"/>
      <c r="Q363" s="14"/>
      <c r="R363" s="2"/>
      <c r="S363" s="14"/>
      <c r="T363" s="2"/>
      <c r="U363" s="1"/>
      <c r="V363" s="62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</row>
    <row r="364" spans="1:67" hidden="1" outlineLevel="1" x14ac:dyDescent="0.25">
      <c r="A364" t="s">
        <v>2740</v>
      </c>
      <c r="E364" s="7"/>
      <c r="F364" s="10"/>
      <c r="G364" s="14"/>
      <c r="H364" s="2"/>
      <c r="I364" s="54" t="s">
        <v>2736</v>
      </c>
      <c r="J364" s="14">
        <v>2162276</v>
      </c>
      <c r="K364" s="2"/>
      <c r="L364" s="19"/>
      <c r="M364" s="14"/>
      <c r="N364" s="2"/>
      <c r="O364" s="14"/>
      <c r="P364" s="2"/>
      <c r="Q364" s="14"/>
      <c r="R364" s="2"/>
      <c r="S364" s="14"/>
      <c r="T364" s="2"/>
      <c r="U364" s="1"/>
      <c r="V364" s="62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</row>
    <row r="365" spans="1:67" hidden="1" outlineLevel="1" x14ac:dyDescent="0.25">
      <c r="A365" t="s">
        <v>2741</v>
      </c>
      <c r="E365" s="7"/>
      <c r="F365" s="10"/>
      <c r="G365" s="14"/>
      <c r="H365" s="2"/>
      <c r="I365" s="54" t="s">
        <v>2736</v>
      </c>
      <c r="J365" s="14">
        <v>2136</v>
      </c>
      <c r="K365" s="2"/>
      <c r="L365" s="19"/>
      <c r="M365" s="14"/>
      <c r="N365" s="2"/>
      <c r="O365" s="14"/>
      <c r="P365" s="2"/>
      <c r="Q365" s="14"/>
      <c r="R365" s="2"/>
      <c r="S365" s="14"/>
      <c r="T365" s="2"/>
      <c r="U365" s="1"/>
      <c r="V365" s="62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</row>
    <row r="366" spans="1:67" hidden="1" outlineLevel="1" x14ac:dyDescent="0.25">
      <c r="A366" t="s">
        <v>2787</v>
      </c>
      <c r="E366" s="7"/>
      <c r="F366" s="10"/>
      <c r="G366" s="14"/>
      <c r="H366" s="2"/>
      <c r="I366" s="54" t="s">
        <v>2785</v>
      </c>
      <c r="J366" s="14">
        <v>11000</v>
      </c>
      <c r="K366" s="2"/>
      <c r="L366" s="19"/>
      <c r="M366" s="14"/>
      <c r="N366" s="2"/>
      <c r="O366" s="14"/>
      <c r="P366" s="2"/>
      <c r="Q366" s="14"/>
      <c r="R366" s="2"/>
      <c r="S366" s="14"/>
      <c r="T366" s="2"/>
      <c r="U366" s="1"/>
      <c r="V366" s="62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</row>
    <row r="367" spans="1:67" hidden="1" outlineLevel="1" x14ac:dyDescent="0.25">
      <c r="A367" t="s">
        <v>2811</v>
      </c>
      <c r="E367" s="7"/>
      <c r="F367" s="10"/>
      <c r="G367" s="14"/>
      <c r="H367" s="2"/>
      <c r="I367" s="54" t="s">
        <v>2810</v>
      </c>
      <c r="J367" s="14">
        <v>20046</v>
      </c>
      <c r="K367" s="2"/>
      <c r="L367" s="19"/>
      <c r="M367" s="14"/>
      <c r="N367" s="2"/>
      <c r="O367" s="14"/>
      <c r="P367" s="2"/>
      <c r="Q367" s="14"/>
      <c r="R367" s="2"/>
      <c r="S367" s="14"/>
      <c r="T367" s="2"/>
      <c r="U367" s="1"/>
      <c r="V367" s="62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</row>
    <row r="368" spans="1:67" x14ac:dyDescent="0.25">
      <c r="A368" t="s">
        <v>887</v>
      </c>
      <c r="E368" s="42" t="s">
        <v>888</v>
      </c>
      <c r="F368" s="43" t="s">
        <v>889</v>
      </c>
      <c r="G368" s="14">
        <v>3287</v>
      </c>
      <c r="H368" s="2"/>
      <c r="I368" s="19"/>
      <c r="J368" s="14">
        <v>0</v>
      </c>
      <c r="K368" s="2"/>
      <c r="L368" s="19"/>
      <c r="M368" s="14">
        <v>0</v>
      </c>
      <c r="N368" s="2"/>
      <c r="O368" s="14">
        <v>3287</v>
      </c>
      <c r="P368" s="55" t="s">
        <v>2863</v>
      </c>
      <c r="Q368" s="14">
        <v>3287</v>
      </c>
      <c r="R368" s="2"/>
      <c r="S368" s="44">
        <f>[1]!DDIFF(3287,3287)</f>
        <v>0</v>
      </c>
      <c r="T368" s="2"/>
      <c r="U368" s="1"/>
      <c r="V368" s="62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</row>
    <row r="369" spans="1:67" hidden="1" x14ac:dyDescent="0.25">
      <c r="A369" t="s">
        <v>890</v>
      </c>
      <c r="E369" s="42" t="s">
        <v>891</v>
      </c>
      <c r="F369" s="43" t="s">
        <v>892</v>
      </c>
      <c r="G369" s="14">
        <v>0</v>
      </c>
      <c r="H369" s="2"/>
      <c r="I369" s="19"/>
      <c r="J369" s="14">
        <v>0</v>
      </c>
      <c r="K369" s="2"/>
      <c r="L369" s="19"/>
      <c r="M369" s="14">
        <v>0</v>
      </c>
      <c r="N369" s="2"/>
      <c r="O369" s="14">
        <v>0</v>
      </c>
      <c r="P369" s="2"/>
      <c r="Q369" s="14">
        <v>0</v>
      </c>
      <c r="R369" s="2"/>
      <c r="S369" s="44">
        <f>[1]!DDIFF(0,0)</f>
        <v>0</v>
      </c>
      <c r="T369" s="2"/>
      <c r="U369" s="1"/>
      <c r="V369" s="62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</row>
    <row r="370" spans="1:67" hidden="1" x14ac:dyDescent="0.25">
      <c r="A370" t="s">
        <v>893</v>
      </c>
      <c r="E370" s="42" t="s">
        <v>894</v>
      </c>
      <c r="F370" s="43" t="s">
        <v>895</v>
      </c>
      <c r="G370" s="14">
        <v>0</v>
      </c>
      <c r="H370" s="2"/>
      <c r="I370" s="19"/>
      <c r="J370" s="14">
        <v>0</v>
      </c>
      <c r="K370" s="2"/>
      <c r="L370" s="19"/>
      <c r="M370" s="14">
        <v>0</v>
      </c>
      <c r="N370" s="2"/>
      <c r="O370" s="14">
        <v>0</v>
      </c>
      <c r="P370" s="2"/>
      <c r="Q370" s="14">
        <v>0</v>
      </c>
      <c r="R370" s="2"/>
      <c r="S370" s="44">
        <f>[1]!DDIFF(0,0)</f>
        <v>0</v>
      </c>
      <c r="T370" s="2"/>
      <c r="U370" s="1"/>
      <c r="V370" s="62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</row>
    <row r="371" spans="1:67" collapsed="1" x14ac:dyDescent="0.25">
      <c r="A371" t="s">
        <v>896</v>
      </c>
      <c r="E371" s="42" t="s">
        <v>897</v>
      </c>
      <c r="F371" s="43" t="s">
        <v>898</v>
      </c>
      <c r="G371" s="14">
        <v>288377</v>
      </c>
      <c r="H371" s="2"/>
      <c r="I371" s="19"/>
      <c r="J371" s="14">
        <v>760</v>
      </c>
      <c r="K371" s="2"/>
      <c r="L371" s="19"/>
      <c r="M371" s="14">
        <v>0</v>
      </c>
      <c r="N371" s="2"/>
      <c r="O371" s="14">
        <v>289137</v>
      </c>
      <c r="P371" s="55" t="s">
        <v>2863</v>
      </c>
      <c r="Q371" s="14">
        <v>247732</v>
      </c>
      <c r="R371" s="2"/>
      <c r="S371" s="44">
        <f>[1]!DDIFF(247732,289137)</f>
        <v>41405</v>
      </c>
      <c r="T371" s="2"/>
      <c r="U371" s="1"/>
      <c r="V371" s="62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</row>
    <row r="372" spans="1:67" hidden="1" outlineLevel="1" x14ac:dyDescent="0.25">
      <c r="A372" t="s">
        <v>2742</v>
      </c>
      <c r="E372" s="7"/>
      <c r="F372" s="10"/>
      <c r="G372" s="14"/>
      <c r="H372" s="2"/>
      <c r="I372" s="54" t="s">
        <v>2736</v>
      </c>
      <c r="J372" s="14">
        <v>760</v>
      </c>
      <c r="K372" s="2"/>
      <c r="L372" s="19"/>
      <c r="M372" s="14"/>
      <c r="N372" s="2"/>
      <c r="O372" s="14"/>
      <c r="P372" s="2"/>
      <c r="Q372" s="14"/>
      <c r="R372" s="2"/>
      <c r="S372" s="14"/>
      <c r="T372" s="2"/>
      <c r="U372" s="1"/>
      <c r="V372" s="62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</row>
    <row r="373" spans="1:67" hidden="1" x14ac:dyDescent="0.25">
      <c r="A373" t="s">
        <v>899</v>
      </c>
      <c r="E373" s="42" t="s">
        <v>900</v>
      </c>
      <c r="F373" s="43" t="s">
        <v>901</v>
      </c>
      <c r="G373" s="14">
        <v>0</v>
      </c>
      <c r="H373" s="2"/>
      <c r="I373" s="19"/>
      <c r="J373" s="14">
        <v>0</v>
      </c>
      <c r="K373" s="2"/>
      <c r="L373" s="19"/>
      <c r="M373" s="14">
        <v>0</v>
      </c>
      <c r="N373" s="2"/>
      <c r="O373" s="14">
        <v>0</v>
      </c>
      <c r="P373" s="2"/>
      <c r="Q373" s="14">
        <v>0</v>
      </c>
      <c r="R373" s="2"/>
      <c r="S373" s="44">
        <f>[1]!DDIFF(0,0)</f>
        <v>0</v>
      </c>
      <c r="T373" s="2"/>
      <c r="U373" s="1"/>
      <c r="V373" s="62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</row>
    <row r="374" spans="1:67" collapsed="1" x14ac:dyDescent="0.25">
      <c r="A374" t="s">
        <v>902</v>
      </c>
      <c r="E374" s="42" t="s">
        <v>903</v>
      </c>
      <c r="F374" s="43" t="s">
        <v>881</v>
      </c>
      <c r="G374" s="14">
        <v>33135947</v>
      </c>
      <c r="H374" s="2"/>
      <c r="I374" s="19"/>
      <c r="J374" s="14">
        <v>-1</v>
      </c>
      <c r="K374" s="2"/>
      <c r="L374" s="19"/>
      <c r="M374" s="14">
        <v>0</v>
      </c>
      <c r="N374" s="2"/>
      <c r="O374" s="14">
        <v>33135946</v>
      </c>
      <c r="P374" s="55" t="s">
        <v>2863</v>
      </c>
      <c r="Q374" s="14">
        <v>30974012</v>
      </c>
      <c r="R374" s="2"/>
      <c r="S374" s="44">
        <f>[1]!DDIFF(30974012,33135946)</f>
        <v>2161934</v>
      </c>
      <c r="T374" s="2"/>
      <c r="U374" s="1"/>
      <c r="V374" s="62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</row>
    <row r="375" spans="1:67" hidden="1" outlineLevel="1" x14ac:dyDescent="0.25">
      <c r="A375" t="s">
        <v>2695</v>
      </c>
      <c r="E375" s="7"/>
      <c r="F375" s="10"/>
      <c r="G375" s="14"/>
      <c r="H375" s="2"/>
      <c r="I375" s="54" t="s">
        <v>2696</v>
      </c>
      <c r="J375" s="14">
        <v>-1</v>
      </c>
      <c r="K375" s="2"/>
      <c r="L375" s="19"/>
      <c r="M375" s="14"/>
      <c r="N375" s="2"/>
      <c r="O375" s="14"/>
      <c r="P375" s="2"/>
      <c r="Q375" s="14"/>
      <c r="R375" s="2"/>
      <c r="S375" s="14"/>
      <c r="T375" s="2"/>
      <c r="U375" s="1"/>
      <c r="V375" s="62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</row>
    <row r="376" spans="1:67" collapsed="1" x14ac:dyDescent="0.25">
      <c r="A376" t="s">
        <v>904</v>
      </c>
      <c r="E376" s="42" t="s">
        <v>905</v>
      </c>
      <c r="F376" s="43" t="s">
        <v>873</v>
      </c>
      <c r="G376" s="14">
        <v>-32824466</v>
      </c>
      <c r="H376" s="2"/>
      <c r="I376" s="19"/>
      <c r="J376" s="14">
        <v>4948</v>
      </c>
      <c r="K376" s="2"/>
      <c r="L376" s="19"/>
      <c r="M376" s="14">
        <v>0</v>
      </c>
      <c r="N376" s="2"/>
      <c r="O376" s="14">
        <v>-32819518</v>
      </c>
      <c r="P376" s="55" t="s">
        <v>2863</v>
      </c>
      <c r="Q376" s="14">
        <v>-29779639</v>
      </c>
      <c r="R376" s="2"/>
      <c r="S376" s="44">
        <f>[1]!DDIFF(-29779639,-32819518)</f>
        <v>-3039879</v>
      </c>
      <c r="T376" s="2"/>
      <c r="U376" s="1"/>
      <c r="V376" s="62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</row>
    <row r="377" spans="1:67" hidden="1" outlineLevel="1" x14ac:dyDescent="0.25">
      <c r="A377" t="s">
        <v>2857</v>
      </c>
      <c r="E377" s="7"/>
      <c r="F377" s="10"/>
      <c r="G377" s="14"/>
      <c r="H377" s="2"/>
      <c r="I377" s="54" t="s">
        <v>2856</v>
      </c>
      <c r="J377" s="14">
        <v>4948</v>
      </c>
      <c r="K377" s="2"/>
      <c r="L377" s="19"/>
      <c r="M377" s="14"/>
      <c r="N377" s="2"/>
      <c r="O377" s="14"/>
      <c r="P377" s="2"/>
      <c r="Q377" s="14"/>
      <c r="R377" s="2"/>
      <c r="S377" s="14"/>
      <c r="T377" s="2"/>
      <c r="U377" s="1"/>
      <c r="V377" s="62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</row>
    <row r="378" spans="1:67" hidden="1" x14ac:dyDescent="0.25">
      <c r="A378" t="s">
        <v>906</v>
      </c>
      <c r="E378" s="42" t="s">
        <v>907</v>
      </c>
      <c r="F378" s="43" t="s">
        <v>111</v>
      </c>
      <c r="G378" s="14">
        <v>0</v>
      </c>
      <c r="H378" s="2"/>
      <c r="I378" s="19"/>
      <c r="J378" s="14">
        <v>0</v>
      </c>
      <c r="K378" s="2"/>
      <c r="L378" s="19"/>
      <c r="M378" s="14">
        <v>0</v>
      </c>
      <c r="N378" s="2"/>
      <c r="O378" s="14">
        <v>0</v>
      </c>
      <c r="P378" s="2"/>
      <c r="Q378" s="14">
        <v>0</v>
      </c>
      <c r="R378" s="2"/>
      <c r="S378" s="44">
        <f>[1]!DDIFF(0,0)</f>
        <v>0</v>
      </c>
      <c r="T378" s="2"/>
      <c r="U378" s="1"/>
      <c r="V378" s="62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</row>
    <row r="379" spans="1:67" hidden="1" x14ac:dyDescent="0.25">
      <c r="A379" t="s">
        <v>908</v>
      </c>
      <c r="E379" s="42" t="s">
        <v>909</v>
      </c>
      <c r="F379" s="43" t="s">
        <v>111</v>
      </c>
      <c r="G379" s="14">
        <v>0</v>
      </c>
      <c r="H379" s="2"/>
      <c r="I379" s="19"/>
      <c r="J379" s="14">
        <v>0</v>
      </c>
      <c r="K379" s="2"/>
      <c r="L379" s="19"/>
      <c r="M379" s="14">
        <v>0</v>
      </c>
      <c r="N379" s="2"/>
      <c r="O379" s="14">
        <v>0</v>
      </c>
      <c r="P379" s="2"/>
      <c r="Q379" s="14">
        <v>0</v>
      </c>
      <c r="R379" s="2"/>
      <c r="S379" s="44">
        <f>[1]!DDIFF(0,0)</f>
        <v>0</v>
      </c>
      <c r="T379" s="2"/>
      <c r="U379" s="1"/>
      <c r="V379" s="62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</row>
    <row r="380" spans="1:67" x14ac:dyDescent="0.25">
      <c r="A380" t="s">
        <v>910</v>
      </c>
      <c r="E380" s="45" t="s">
        <v>2662</v>
      </c>
      <c r="F380" s="46" t="s">
        <v>2839</v>
      </c>
      <c r="G380" s="15">
        <v>1</v>
      </c>
      <c r="H380" s="3"/>
      <c r="I380" s="20"/>
      <c r="J380" s="15">
        <v>-1</v>
      </c>
      <c r="K380" s="3"/>
      <c r="L380" s="20"/>
      <c r="M380" s="15">
        <v>0</v>
      </c>
      <c r="N380" s="3"/>
      <c r="O380" s="15">
        <v>0</v>
      </c>
      <c r="P380" s="3"/>
      <c r="Q380" s="15">
        <v>0</v>
      </c>
      <c r="R380" s="3"/>
      <c r="S380" s="47">
        <f>[1]!DDIFF(0,0)</f>
        <v>0</v>
      </c>
      <c r="T380" s="3"/>
      <c r="U380" s="1"/>
      <c r="V380" s="62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</row>
    <row r="381" spans="1:67" x14ac:dyDescent="0.25">
      <c r="A381" t="s">
        <v>912</v>
      </c>
      <c r="H381" s="1"/>
      <c r="K381" s="1"/>
      <c r="N381" s="1"/>
      <c r="P381" s="1"/>
      <c r="R381" s="1"/>
      <c r="T381" s="1"/>
      <c r="U381" s="1"/>
      <c r="V381" s="62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</row>
    <row r="382" spans="1:67" x14ac:dyDescent="0.25">
      <c r="A382" t="s">
        <v>2841</v>
      </c>
      <c r="E382" s="40" t="s">
        <v>2842</v>
      </c>
      <c r="F382" s="41" t="s">
        <v>2843</v>
      </c>
      <c r="H382" s="1"/>
      <c r="K382" s="1"/>
      <c r="N382" s="1"/>
      <c r="P382" s="1"/>
      <c r="R382" s="1"/>
      <c r="T382" s="1"/>
      <c r="U382" s="1"/>
      <c r="V382" s="62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</row>
    <row r="383" spans="1:67" x14ac:dyDescent="0.25">
      <c r="A383" t="s">
        <v>1431</v>
      </c>
      <c r="E383" s="42" t="s">
        <v>1432</v>
      </c>
      <c r="F383" s="43" t="s">
        <v>1433</v>
      </c>
      <c r="G383" s="14">
        <v>613001</v>
      </c>
      <c r="H383" s="2"/>
      <c r="I383" s="19"/>
      <c r="J383" s="14">
        <v>0</v>
      </c>
      <c r="K383" s="2"/>
      <c r="L383" s="19"/>
      <c r="M383" s="14">
        <v>0</v>
      </c>
      <c r="N383" s="2"/>
      <c r="O383" s="14">
        <v>613001</v>
      </c>
      <c r="P383" s="55" t="s">
        <v>2863</v>
      </c>
      <c r="Q383" s="14">
        <v>270479</v>
      </c>
      <c r="R383" s="2"/>
      <c r="S383" s="44">
        <f>[1]!DDIFF(270479,613001)</f>
        <v>342522</v>
      </c>
      <c r="T383" s="2"/>
      <c r="U383" s="1"/>
      <c r="V383" s="62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</row>
    <row r="384" spans="1:67" x14ac:dyDescent="0.25">
      <c r="A384" t="s">
        <v>1669</v>
      </c>
      <c r="E384" s="42" t="s">
        <v>1670</v>
      </c>
      <c r="F384" s="43" t="s">
        <v>1671</v>
      </c>
      <c r="G384" s="14">
        <v>78114</v>
      </c>
      <c r="H384" s="2"/>
      <c r="I384" s="19"/>
      <c r="J384" s="14">
        <v>0</v>
      </c>
      <c r="K384" s="2"/>
      <c r="L384" s="19"/>
      <c r="M384" s="14">
        <v>0</v>
      </c>
      <c r="N384" s="2"/>
      <c r="O384" s="14">
        <v>78114</v>
      </c>
      <c r="P384" s="55" t="s">
        <v>2863</v>
      </c>
      <c r="Q384" s="14">
        <v>150492</v>
      </c>
      <c r="R384" s="2"/>
      <c r="S384" s="44">
        <f>[1]!DDIFF(150492,78114)</f>
        <v>-72378</v>
      </c>
      <c r="T384" s="2"/>
      <c r="U384" s="1"/>
      <c r="V384" s="62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</row>
    <row r="385" spans="1:67" collapsed="1" x14ac:dyDescent="0.25">
      <c r="A385" t="s">
        <v>1755</v>
      </c>
      <c r="E385" s="42" t="s">
        <v>1756</v>
      </c>
      <c r="F385" s="43" t="s">
        <v>1757</v>
      </c>
      <c r="G385" s="14">
        <v>213710</v>
      </c>
      <c r="H385" s="2"/>
      <c r="I385" s="19"/>
      <c r="J385" s="14">
        <v>0</v>
      </c>
      <c r="K385" s="2"/>
      <c r="L385" s="19"/>
      <c r="M385" s="14">
        <v>0</v>
      </c>
      <c r="N385" s="2"/>
      <c r="O385" s="14">
        <v>213710</v>
      </c>
      <c r="P385" s="55" t="s">
        <v>2863</v>
      </c>
      <c r="Q385" s="14">
        <v>174644</v>
      </c>
      <c r="R385" s="2"/>
      <c r="S385" s="44">
        <f>[1]!DDIFF(174644,213710)</f>
        <v>39066</v>
      </c>
      <c r="T385" s="2"/>
      <c r="U385" s="1"/>
      <c r="V385" s="62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</row>
    <row r="386" spans="1:67" x14ac:dyDescent="0.25">
      <c r="A386" t="s">
        <v>1758</v>
      </c>
      <c r="E386" s="42" t="s">
        <v>1759</v>
      </c>
      <c r="F386" s="43" t="s">
        <v>1760</v>
      </c>
      <c r="G386" s="14">
        <v>105987</v>
      </c>
      <c r="H386" s="2"/>
      <c r="I386" s="19"/>
      <c r="J386" s="14">
        <v>0</v>
      </c>
      <c r="K386" s="2"/>
      <c r="L386" s="19"/>
      <c r="M386" s="14">
        <v>0</v>
      </c>
      <c r="N386" s="2"/>
      <c r="O386" s="14">
        <v>105987</v>
      </c>
      <c r="P386" s="55" t="s">
        <v>2863</v>
      </c>
      <c r="Q386" s="14">
        <v>99401</v>
      </c>
      <c r="R386" s="2"/>
      <c r="S386" s="44">
        <f>[1]!DDIFF(99401,105987)</f>
        <v>6586</v>
      </c>
      <c r="T386" s="2"/>
      <c r="U386" s="1"/>
      <c r="V386" s="62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</row>
    <row r="387" spans="1:67" x14ac:dyDescent="0.25">
      <c r="A387" t="s">
        <v>1761</v>
      </c>
      <c r="E387" s="42" t="s">
        <v>1762</v>
      </c>
      <c r="F387" s="43" t="s">
        <v>1763</v>
      </c>
      <c r="G387" s="14">
        <v>70577</v>
      </c>
      <c r="H387" s="2"/>
      <c r="I387" s="19"/>
      <c r="J387" s="14">
        <v>0</v>
      </c>
      <c r="K387" s="2"/>
      <c r="L387" s="19"/>
      <c r="M387" s="14">
        <v>0</v>
      </c>
      <c r="N387" s="2"/>
      <c r="O387" s="14">
        <v>70577</v>
      </c>
      <c r="P387" s="55" t="s">
        <v>2863</v>
      </c>
      <c r="Q387" s="14">
        <v>66003</v>
      </c>
      <c r="R387" s="2"/>
      <c r="S387" s="44">
        <f>[1]!DDIFF(66003,70577)</f>
        <v>4574</v>
      </c>
      <c r="T387" s="2"/>
      <c r="U387" s="1"/>
      <c r="V387" s="62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</row>
    <row r="388" spans="1:67" collapsed="1" x14ac:dyDescent="0.25">
      <c r="A388" t="s">
        <v>1764</v>
      </c>
      <c r="E388" s="42" t="s">
        <v>1765</v>
      </c>
      <c r="F388" s="43" t="s">
        <v>1766</v>
      </c>
      <c r="G388" s="14">
        <v>142519</v>
      </c>
      <c r="H388" s="2"/>
      <c r="I388" s="19"/>
      <c r="J388" s="14">
        <v>0</v>
      </c>
      <c r="K388" s="2"/>
      <c r="L388" s="19"/>
      <c r="M388" s="14">
        <v>38576</v>
      </c>
      <c r="N388" s="2"/>
      <c r="O388" s="14">
        <v>181095</v>
      </c>
      <c r="P388" s="55" t="s">
        <v>2863</v>
      </c>
      <c r="Q388" s="14">
        <v>139403</v>
      </c>
      <c r="R388" s="2"/>
      <c r="S388" s="44">
        <f>[1]!DDIFF(139403,181095)</f>
        <v>41692</v>
      </c>
      <c r="T388" s="2"/>
      <c r="U388" s="1"/>
      <c r="V388" s="62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</row>
    <row r="389" spans="1:67" hidden="1" outlineLevel="1" x14ac:dyDescent="0.25">
      <c r="A389" t="s">
        <v>2844</v>
      </c>
      <c r="E389" s="7"/>
      <c r="F389" s="10"/>
      <c r="G389" s="14"/>
      <c r="H389" s="2"/>
      <c r="I389" s="19"/>
      <c r="J389" s="14"/>
      <c r="K389" s="2"/>
      <c r="L389" s="54" t="s">
        <v>2840</v>
      </c>
      <c r="M389" s="14">
        <v>38576</v>
      </c>
      <c r="N389" s="2"/>
      <c r="O389" s="14"/>
      <c r="P389" s="2"/>
      <c r="Q389" s="14"/>
      <c r="R389" s="2"/>
      <c r="S389" s="14"/>
      <c r="T389" s="2"/>
      <c r="U389" s="1"/>
      <c r="V389" s="62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</row>
    <row r="390" spans="1:67" x14ac:dyDescent="0.25">
      <c r="A390" t="s">
        <v>1767</v>
      </c>
      <c r="E390" s="42" t="s">
        <v>1768</v>
      </c>
      <c r="F390" s="43" t="s">
        <v>1769</v>
      </c>
      <c r="G390" s="14">
        <v>36209</v>
      </c>
      <c r="H390" s="2"/>
      <c r="I390" s="19"/>
      <c r="J390" s="14">
        <v>0</v>
      </c>
      <c r="K390" s="2"/>
      <c r="L390" s="19"/>
      <c r="M390" s="14">
        <v>0</v>
      </c>
      <c r="N390" s="2"/>
      <c r="O390" s="14">
        <v>36209</v>
      </c>
      <c r="P390" s="55" t="s">
        <v>2863</v>
      </c>
      <c r="Q390" s="14">
        <v>26958</v>
      </c>
      <c r="R390" s="2"/>
      <c r="S390" s="44">
        <f>[1]!DDIFF(26958,36209)</f>
        <v>9251</v>
      </c>
      <c r="T390" s="2"/>
      <c r="U390" s="1"/>
      <c r="V390" s="62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</row>
    <row r="391" spans="1:67" x14ac:dyDescent="0.25">
      <c r="A391" t="s">
        <v>1770</v>
      </c>
      <c r="E391" s="42" t="s">
        <v>1771</v>
      </c>
      <c r="F391" s="43" t="s">
        <v>1772</v>
      </c>
      <c r="G391" s="14">
        <v>13496</v>
      </c>
      <c r="H391" s="2"/>
      <c r="I391" s="19"/>
      <c r="J391" s="14">
        <v>0</v>
      </c>
      <c r="K391" s="2"/>
      <c r="L391" s="19"/>
      <c r="M391" s="14">
        <v>0</v>
      </c>
      <c r="N391" s="2"/>
      <c r="O391" s="14">
        <v>13496</v>
      </c>
      <c r="P391" s="55" t="s">
        <v>2863</v>
      </c>
      <c r="Q391" s="14">
        <v>13183</v>
      </c>
      <c r="R391" s="2"/>
      <c r="S391" s="44">
        <f>[1]!DDIFF(13183,13496)</f>
        <v>313</v>
      </c>
      <c r="T391" s="2"/>
      <c r="U391" s="1"/>
      <c r="V391" s="62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</row>
    <row r="392" spans="1:67" x14ac:dyDescent="0.25">
      <c r="A392" t="s">
        <v>1776</v>
      </c>
      <c r="E392" s="42" t="s">
        <v>1777</v>
      </c>
      <c r="F392" s="43" t="s">
        <v>1778</v>
      </c>
      <c r="G392" s="14">
        <v>122426</v>
      </c>
      <c r="H392" s="2"/>
      <c r="I392" s="19"/>
      <c r="J392" s="14">
        <v>0</v>
      </c>
      <c r="K392" s="2"/>
      <c r="L392" s="19"/>
      <c r="M392" s="14">
        <v>0</v>
      </c>
      <c r="N392" s="2"/>
      <c r="O392" s="14">
        <v>122426</v>
      </c>
      <c r="P392" s="55" t="s">
        <v>2863</v>
      </c>
      <c r="Q392" s="14">
        <v>96415</v>
      </c>
      <c r="R392" s="2"/>
      <c r="S392" s="44">
        <f>[1]!DDIFF(96415,122426)</f>
        <v>26011</v>
      </c>
      <c r="T392" s="2"/>
      <c r="U392" s="1"/>
      <c r="V392" s="62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</row>
    <row r="393" spans="1:67" x14ac:dyDescent="0.25">
      <c r="A393" t="s">
        <v>1803</v>
      </c>
      <c r="E393" s="42" t="s">
        <v>1804</v>
      </c>
      <c r="F393" s="43" t="s">
        <v>1805</v>
      </c>
      <c r="G393" s="14">
        <v>366527</v>
      </c>
      <c r="H393" s="2"/>
      <c r="I393" s="19"/>
      <c r="J393" s="14">
        <v>0</v>
      </c>
      <c r="K393" s="2"/>
      <c r="L393" s="19"/>
      <c r="M393" s="14">
        <v>0</v>
      </c>
      <c r="N393" s="2"/>
      <c r="O393" s="14">
        <v>366527</v>
      </c>
      <c r="P393" s="55" t="s">
        <v>2863</v>
      </c>
      <c r="Q393" s="14">
        <v>234798</v>
      </c>
      <c r="R393" s="2"/>
      <c r="S393" s="44">
        <f>[1]!DDIFF(234798,366527)</f>
        <v>131729</v>
      </c>
      <c r="T393" s="2"/>
      <c r="U393" s="1"/>
      <c r="V393" s="62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</row>
    <row r="394" spans="1:67" collapsed="1" x14ac:dyDescent="0.25">
      <c r="A394" t="s">
        <v>1434</v>
      </c>
      <c r="E394" s="42" t="s">
        <v>1435</v>
      </c>
      <c r="F394" s="43" t="s">
        <v>1436</v>
      </c>
      <c r="G394" s="14">
        <v>1271635</v>
      </c>
      <c r="H394" s="2"/>
      <c r="I394" s="19"/>
      <c r="J394" s="14">
        <v>4948</v>
      </c>
      <c r="K394" s="2"/>
      <c r="L394" s="19"/>
      <c r="M394" s="14">
        <v>-4948</v>
      </c>
      <c r="N394" s="2"/>
      <c r="O394" s="14">
        <v>1271635</v>
      </c>
      <c r="P394" s="55">
        <v>610</v>
      </c>
      <c r="Q394" s="14">
        <v>977169</v>
      </c>
      <c r="R394" s="2"/>
      <c r="S394" s="44">
        <f>[1]!DDIFF(977169,1271635)</f>
        <v>294466</v>
      </c>
      <c r="T394" s="2"/>
      <c r="U394" s="1"/>
      <c r="V394" s="62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</row>
    <row r="395" spans="1:67" hidden="1" outlineLevel="1" x14ac:dyDescent="0.25">
      <c r="A395" t="s">
        <v>2858</v>
      </c>
      <c r="E395" s="7"/>
      <c r="F395" s="10"/>
      <c r="G395" s="14"/>
      <c r="H395" s="2"/>
      <c r="I395" s="54" t="s">
        <v>2856</v>
      </c>
      <c r="J395" s="14">
        <v>4948</v>
      </c>
      <c r="K395" s="2"/>
      <c r="L395" s="54" t="s">
        <v>2840</v>
      </c>
      <c r="M395" s="14">
        <v>-4948</v>
      </c>
      <c r="N395" s="2"/>
      <c r="O395" s="14"/>
      <c r="P395" s="2"/>
      <c r="Q395" s="14"/>
      <c r="R395" s="2"/>
      <c r="S395" s="14"/>
      <c r="T395" s="2"/>
      <c r="U395" s="1"/>
      <c r="V395" s="62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</row>
    <row r="396" spans="1:67" x14ac:dyDescent="0.25">
      <c r="A396" t="s">
        <v>1672</v>
      </c>
      <c r="E396" s="42" t="s">
        <v>1673</v>
      </c>
      <c r="F396" s="43" t="s">
        <v>1671</v>
      </c>
      <c r="G396" s="14">
        <v>269583</v>
      </c>
      <c r="H396" s="2"/>
      <c r="I396" s="19"/>
      <c r="J396" s="14">
        <v>0</v>
      </c>
      <c r="K396" s="2"/>
      <c r="L396" s="19"/>
      <c r="M396" s="14">
        <v>0</v>
      </c>
      <c r="N396" s="2"/>
      <c r="O396" s="14">
        <v>269583</v>
      </c>
      <c r="P396" s="55" t="s">
        <v>2863</v>
      </c>
      <c r="Q396" s="14">
        <v>249168</v>
      </c>
      <c r="R396" s="2"/>
      <c r="S396" s="44">
        <f>[1]!DDIFF(249168,269583)</f>
        <v>20415</v>
      </c>
      <c r="T396" s="2"/>
      <c r="U396" s="1"/>
      <c r="V396" s="62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</row>
    <row r="397" spans="1:67" x14ac:dyDescent="0.25">
      <c r="A397" t="s">
        <v>1818</v>
      </c>
      <c r="E397" s="42" t="s">
        <v>1819</v>
      </c>
      <c r="F397" s="43" t="s">
        <v>1757</v>
      </c>
      <c r="G397" s="14">
        <v>670466</v>
      </c>
      <c r="H397" s="2"/>
      <c r="I397" s="19"/>
      <c r="J397" s="14">
        <v>0</v>
      </c>
      <c r="K397" s="2"/>
      <c r="L397" s="19"/>
      <c r="M397" s="14">
        <v>0</v>
      </c>
      <c r="N397" s="2"/>
      <c r="O397" s="14">
        <v>670466</v>
      </c>
      <c r="P397" s="57" t="s">
        <v>2889</v>
      </c>
      <c r="Q397" s="14">
        <v>670131</v>
      </c>
      <c r="R397" s="2"/>
      <c r="S397" s="44">
        <f>[1]!DDIFF(670131,670466)</f>
        <v>335</v>
      </c>
      <c r="T397" s="2"/>
      <c r="U397" s="57" t="s">
        <v>2889</v>
      </c>
      <c r="V397" s="62">
        <f>+O397+O398+O399+O400</f>
        <v>2018480</v>
      </c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</row>
    <row r="398" spans="1:67" x14ac:dyDescent="0.25">
      <c r="A398" t="s">
        <v>1820</v>
      </c>
      <c r="E398" s="42" t="s">
        <v>1821</v>
      </c>
      <c r="F398" s="43" t="s">
        <v>1760</v>
      </c>
      <c r="G398" s="14">
        <v>341325</v>
      </c>
      <c r="H398" s="2"/>
      <c r="I398" s="19"/>
      <c r="J398" s="14">
        <v>0</v>
      </c>
      <c r="K398" s="2"/>
      <c r="L398" s="19"/>
      <c r="M398" s="14">
        <v>0</v>
      </c>
      <c r="N398" s="2"/>
      <c r="O398" s="14">
        <v>341325</v>
      </c>
      <c r="P398" s="57" t="s">
        <v>2889</v>
      </c>
      <c r="Q398" s="14">
        <v>328651</v>
      </c>
      <c r="R398" s="2"/>
      <c r="S398" s="44">
        <f>[1]!DDIFF(328651,341325)</f>
        <v>12674</v>
      </c>
      <c r="T398" s="2"/>
      <c r="U398" s="1"/>
      <c r="V398" s="62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</row>
    <row r="399" spans="1:67" x14ac:dyDescent="0.25">
      <c r="A399" t="s">
        <v>1822</v>
      </c>
      <c r="E399" s="42" t="s">
        <v>1823</v>
      </c>
      <c r="F399" s="43" t="s">
        <v>1763</v>
      </c>
      <c r="G399" s="14">
        <v>282306</v>
      </c>
      <c r="H399" s="2"/>
      <c r="I399" s="19"/>
      <c r="J399" s="14">
        <v>0</v>
      </c>
      <c r="K399" s="2"/>
      <c r="L399" s="19"/>
      <c r="M399" s="14">
        <v>0</v>
      </c>
      <c r="N399" s="2"/>
      <c r="O399" s="14">
        <v>282306</v>
      </c>
      <c r="P399" s="57" t="s">
        <v>2889</v>
      </c>
      <c r="Q399" s="14">
        <v>264012</v>
      </c>
      <c r="R399" s="2"/>
      <c r="S399" s="44">
        <f>[1]!DDIFF(264012,282306)</f>
        <v>18294</v>
      </c>
      <c r="T399" s="2"/>
      <c r="U399" s="1"/>
      <c r="V399" s="62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</row>
    <row r="400" spans="1:67" x14ac:dyDescent="0.25">
      <c r="A400" t="s">
        <v>1824</v>
      </c>
      <c r="E400" s="42" t="s">
        <v>1825</v>
      </c>
      <c r="F400" s="43" t="s">
        <v>1766</v>
      </c>
      <c r="G400" s="14">
        <v>724383</v>
      </c>
      <c r="H400" s="2"/>
      <c r="I400" s="19"/>
      <c r="J400" s="14">
        <v>0</v>
      </c>
      <c r="K400" s="2"/>
      <c r="L400" s="19"/>
      <c r="M400" s="14">
        <v>0</v>
      </c>
      <c r="N400" s="2"/>
      <c r="O400" s="14">
        <v>724383</v>
      </c>
      <c r="P400" s="57" t="s">
        <v>2889</v>
      </c>
      <c r="Q400" s="14">
        <v>699975</v>
      </c>
      <c r="R400" s="2"/>
      <c r="S400" s="44">
        <f>[1]!DDIFF(699975,724383)</f>
        <v>24408</v>
      </c>
      <c r="T400" s="2"/>
      <c r="U400" s="1"/>
      <c r="V400" s="62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</row>
    <row r="401" spans="1:67" x14ac:dyDescent="0.25">
      <c r="A401" t="s">
        <v>1826</v>
      </c>
      <c r="E401" s="42" t="s">
        <v>1827</v>
      </c>
      <c r="F401" s="43" t="s">
        <v>1769</v>
      </c>
      <c r="G401" s="14">
        <v>144837</v>
      </c>
      <c r="H401" s="2"/>
      <c r="I401" s="19"/>
      <c r="J401" s="14">
        <v>0</v>
      </c>
      <c r="K401" s="2"/>
      <c r="L401" s="19"/>
      <c r="M401" s="14">
        <v>0</v>
      </c>
      <c r="N401" s="2"/>
      <c r="O401" s="14">
        <v>144837</v>
      </c>
      <c r="P401" s="57">
        <v>650</v>
      </c>
      <c r="Q401" s="14">
        <v>107830</v>
      </c>
      <c r="R401" s="2"/>
      <c r="S401" s="44">
        <f>[1]!DDIFF(107830,144837)</f>
        <v>37007</v>
      </c>
      <c r="T401" s="2"/>
      <c r="U401" s="1"/>
      <c r="V401" s="62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</row>
    <row r="402" spans="1:67" x14ac:dyDescent="0.25">
      <c r="A402" t="s">
        <v>1828</v>
      </c>
      <c r="E402" s="42" t="s">
        <v>1829</v>
      </c>
      <c r="F402" s="43" t="s">
        <v>1772</v>
      </c>
      <c r="G402" s="14">
        <v>53983</v>
      </c>
      <c r="H402" s="2"/>
      <c r="I402" s="19"/>
      <c r="J402" s="14">
        <v>0</v>
      </c>
      <c r="K402" s="2"/>
      <c r="L402" s="19"/>
      <c r="M402" s="14">
        <v>0</v>
      </c>
      <c r="N402" s="2"/>
      <c r="O402" s="14">
        <v>53983</v>
      </c>
      <c r="P402" s="64" t="s">
        <v>2890</v>
      </c>
      <c r="Q402" s="14">
        <v>52731</v>
      </c>
      <c r="R402" s="2"/>
      <c r="S402" s="44">
        <f>[1]!DDIFF(52731,53983)</f>
        <v>1252</v>
      </c>
      <c r="T402" s="2"/>
      <c r="U402" s="55" t="s">
        <v>2892</v>
      </c>
      <c r="V402" s="62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</row>
    <row r="403" spans="1:67" x14ac:dyDescent="0.25">
      <c r="A403" t="s">
        <v>1830</v>
      </c>
      <c r="E403" s="42" t="s">
        <v>1831</v>
      </c>
      <c r="F403" s="43" t="s">
        <v>1778</v>
      </c>
      <c r="G403" s="14">
        <v>489704</v>
      </c>
      <c r="H403" s="2"/>
      <c r="I403" s="19"/>
      <c r="J403" s="14">
        <v>0</v>
      </c>
      <c r="K403" s="2"/>
      <c r="L403" s="19"/>
      <c r="M403" s="14">
        <v>0</v>
      </c>
      <c r="N403" s="2"/>
      <c r="O403" s="14">
        <v>489704</v>
      </c>
      <c r="P403" s="55" t="s">
        <v>2892</v>
      </c>
      <c r="Q403" s="14">
        <v>385661</v>
      </c>
      <c r="R403" s="2"/>
      <c r="S403" s="44">
        <f>[1]!DDIFF(385661,489704)</f>
        <v>104043</v>
      </c>
      <c r="T403" s="2"/>
      <c r="U403" s="60" t="s">
        <v>2891</v>
      </c>
      <c r="V403" s="62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</row>
    <row r="404" spans="1:67" x14ac:dyDescent="0.25">
      <c r="A404" t="s">
        <v>1853</v>
      </c>
      <c r="E404" s="42" t="s">
        <v>1854</v>
      </c>
      <c r="F404" s="43" t="s">
        <v>1805</v>
      </c>
      <c r="G404" s="14">
        <v>646747</v>
      </c>
      <c r="H404" s="2"/>
      <c r="I404" s="19"/>
      <c r="J404" s="14">
        <v>0</v>
      </c>
      <c r="K404" s="2"/>
      <c r="L404" s="19"/>
      <c r="M404" s="14">
        <v>0</v>
      </c>
      <c r="N404" s="2"/>
      <c r="O404" s="14">
        <v>646747</v>
      </c>
      <c r="P404" s="55">
        <v>636</v>
      </c>
      <c r="Q404" s="14">
        <v>476827</v>
      </c>
      <c r="R404" s="2"/>
      <c r="S404" s="44">
        <f>[1]!DDIFF(476827,646747)</f>
        <v>169920</v>
      </c>
      <c r="T404" s="2"/>
      <c r="U404" s="65">
        <f>+O403</f>
        <v>489704</v>
      </c>
      <c r="V404" s="62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</row>
    <row r="405" spans="1:67" x14ac:dyDescent="0.25">
      <c r="A405" t="s">
        <v>1475</v>
      </c>
      <c r="E405" s="42" t="s">
        <v>1476</v>
      </c>
      <c r="F405" s="43" t="s">
        <v>1477</v>
      </c>
      <c r="G405" s="14">
        <v>-613001</v>
      </c>
      <c r="H405" s="2"/>
      <c r="I405" s="19"/>
      <c r="J405" s="14">
        <v>0</v>
      </c>
      <c r="K405" s="2"/>
      <c r="L405" s="19"/>
      <c r="M405" s="14">
        <v>0</v>
      </c>
      <c r="N405" s="2"/>
      <c r="O405" s="14">
        <v>-613001</v>
      </c>
      <c r="P405" s="2"/>
      <c r="Q405" s="14">
        <v>-270479</v>
      </c>
      <c r="R405" s="2"/>
      <c r="S405" s="44">
        <f>[1]!DDIFF(-270479,-613001)</f>
        <v>-342522</v>
      </c>
      <c r="T405" s="2"/>
      <c r="U405" s="1"/>
      <c r="V405" s="62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</row>
    <row r="406" spans="1:67" x14ac:dyDescent="0.25">
      <c r="A406" t="s">
        <v>1510</v>
      </c>
      <c r="E406" s="42" t="s">
        <v>1511</v>
      </c>
      <c r="F406" s="43" t="s">
        <v>1512</v>
      </c>
      <c r="G406" s="14">
        <v>-1271635</v>
      </c>
      <c r="H406" s="2"/>
      <c r="I406" s="19"/>
      <c r="J406" s="14">
        <v>0</v>
      </c>
      <c r="K406" s="2"/>
      <c r="L406" s="19"/>
      <c r="M406" s="14">
        <v>0</v>
      </c>
      <c r="N406" s="2"/>
      <c r="O406" s="14">
        <v>-1271635</v>
      </c>
      <c r="P406" s="2"/>
      <c r="Q406" s="14">
        <v>-977169</v>
      </c>
      <c r="R406" s="2"/>
      <c r="S406" s="44">
        <f>[1]!DDIFF(-977169,-1271635)</f>
        <v>-294466</v>
      </c>
      <c r="T406" s="2"/>
      <c r="U406" s="65">
        <f>-O1051</f>
        <v>-357232</v>
      </c>
      <c r="V406" s="65">
        <f>-U406*0.8</f>
        <v>285785.60000000003</v>
      </c>
      <c r="W406" s="66">
        <v>657</v>
      </c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</row>
    <row r="407" spans="1:67" collapsed="1" x14ac:dyDescent="0.25">
      <c r="A407" t="s">
        <v>1740</v>
      </c>
      <c r="E407" s="42" t="s">
        <v>1741</v>
      </c>
      <c r="F407" s="43" t="s">
        <v>1742</v>
      </c>
      <c r="G407" s="14">
        <v>-347698</v>
      </c>
      <c r="H407" s="2"/>
      <c r="I407" s="19"/>
      <c r="J407" s="14">
        <v>1</v>
      </c>
      <c r="K407" s="2"/>
      <c r="L407" s="19"/>
      <c r="M407" s="14">
        <v>0</v>
      </c>
      <c r="N407" s="2"/>
      <c r="O407" s="14">
        <v>-347697</v>
      </c>
      <c r="P407" s="2"/>
      <c r="Q407" s="14">
        <v>-399660</v>
      </c>
      <c r="R407" s="2"/>
      <c r="S407" s="44">
        <f>[1]!DDIFF(-399660,-347697)</f>
        <v>51963</v>
      </c>
      <c r="T407" s="2"/>
      <c r="U407" s="65">
        <f>+U404+U406</f>
        <v>132472</v>
      </c>
      <c r="V407" s="65">
        <f>+U407*0.8</f>
        <v>105977.60000000001</v>
      </c>
      <c r="W407" s="66">
        <v>620</v>
      </c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</row>
    <row r="408" spans="1:67" hidden="1" outlineLevel="1" x14ac:dyDescent="0.25">
      <c r="A408" t="s">
        <v>2845</v>
      </c>
      <c r="E408" s="7"/>
      <c r="F408" s="10"/>
      <c r="G408" s="14"/>
      <c r="H408" s="2"/>
      <c r="I408" s="54" t="s">
        <v>2696</v>
      </c>
      <c r="J408" s="14">
        <v>1</v>
      </c>
      <c r="K408" s="2"/>
      <c r="L408" s="19"/>
      <c r="M408" s="14"/>
      <c r="N408" s="2"/>
      <c r="O408" s="14"/>
      <c r="P408" s="2"/>
      <c r="Q408" s="14"/>
      <c r="R408" s="2"/>
      <c r="S408" s="14"/>
      <c r="T408" s="2"/>
      <c r="U408" s="1"/>
      <c r="V408" s="62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</row>
    <row r="409" spans="1:67" x14ac:dyDescent="0.25">
      <c r="A409" t="s">
        <v>2011</v>
      </c>
      <c r="E409" s="42" t="s">
        <v>2012</v>
      </c>
      <c r="F409" s="43" t="s">
        <v>2013</v>
      </c>
      <c r="G409" s="14">
        <v>-885176</v>
      </c>
      <c r="H409" s="2"/>
      <c r="I409" s="19"/>
      <c r="J409" s="14">
        <v>0</v>
      </c>
      <c r="K409" s="2"/>
      <c r="L409" s="19"/>
      <c r="M409" s="14">
        <v>0</v>
      </c>
      <c r="N409" s="2"/>
      <c r="O409" s="14">
        <v>-885176</v>
      </c>
      <c r="P409" s="2"/>
      <c r="Q409" s="14">
        <v>-844775</v>
      </c>
      <c r="R409" s="2"/>
      <c r="S409" s="44">
        <f>[1]!DDIFF(-844775,-885176)</f>
        <v>-40401</v>
      </c>
      <c r="T409" s="2"/>
      <c r="U409" s="1"/>
      <c r="V409" s="62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</row>
    <row r="410" spans="1:67" collapsed="1" x14ac:dyDescent="0.25">
      <c r="A410" t="s">
        <v>2050</v>
      </c>
      <c r="E410" s="42" t="s">
        <v>2051</v>
      </c>
      <c r="F410" s="43" t="s">
        <v>2052</v>
      </c>
      <c r="G410" s="14">
        <v>-436270</v>
      </c>
      <c r="H410" s="2"/>
      <c r="I410" s="19"/>
      <c r="J410" s="14">
        <v>0</v>
      </c>
      <c r="K410" s="2"/>
      <c r="L410" s="19"/>
      <c r="M410" s="14">
        <v>-11042</v>
      </c>
      <c r="N410" s="2"/>
      <c r="O410" s="14">
        <v>-447312</v>
      </c>
      <c r="P410" s="2"/>
      <c r="Q410" s="14">
        <v>-428052</v>
      </c>
      <c r="R410" s="2"/>
      <c r="S410" s="44">
        <f>[1]!DDIFF(-428052,-447312)</f>
        <v>-19260</v>
      </c>
      <c r="T410" s="2"/>
      <c r="U410" s="1"/>
      <c r="V410" s="62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</row>
    <row r="411" spans="1:67" hidden="1" outlineLevel="1" x14ac:dyDescent="0.25">
      <c r="A411" t="s">
        <v>2846</v>
      </c>
      <c r="E411" s="7"/>
      <c r="F411" s="10"/>
      <c r="G411" s="14"/>
      <c r="H411" s="2"/>
      <c r="I411" s="19"/>
      <c r="J411" s="14"/>
      <c r="K411" s="2"/>
      <c r="L411" s="54" t="s">
        <v>2840</v>
      </c>
      <c r="M411" s="14">
        <v>-11042</v>
      </c>
      <c r="N411" s="2"/>
      <c r="O411" s="14"/>
      <c r="P411" s="2"/>
      <c r="Q411" s="14"/>
      <c r="R411" s="2"/>
      <c r="S411" s="14"/>
      <c r="T411" s="2"/>
      <c r="U411" s="1"/>
      <c r="V411" s="62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</row>
    <row r="412" spans="1:67" x14ac:dyDescent="0.25">
      <c r="A412" t="s">
        <v>2092</v>
      </c>
      <c r="E412" s="42" t="s">
        <v>2093</v>
      </c>
      <c r="F412" s="43" t="s">
        <v>2094</v>
      </c>
      <c r="G412" s="14">
        <v>-351883</v>
      </c>
      <c r="H412" s="2"/>
      <c r="I412" s="19"/>
      <c r="J412" s="14">
        <v>0</v>
      </c>
      <c r="K412" s="2"/>
      <c r="L412" s="19"/>
      <c r="M412" s="14">
        <v>0</v>
      </c>
      <c r="N412" s="2"/>
      <c r="O412" s="14">
        <v>-351883</v>
      </c>
      <c r="P412" s="2"/>
      <c r="Q412" s="14">
        <v>-330015</v>
      </c>
      <c r="R412" s="2"/>
      <c r="S412" s="44">
        <f>[1]!DDIFF(-330015,-351883)</f>
        <v>-21868</v>
      </c>
      <c r="T412" s="2"/>
      <c r="U412" s="1"/>
      <c r="V412" s="62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</row>
    <row r="413" spans="1:67" x14ac:dyDescent="0.25">
      <c r="A413" t="s">
        <v>2124</v>
      </c>
      <c r="E413" s="42" t="s">
        <v>2125</v>
      </c>
      <c r="F413" s="43" t="s">
        <v>2126</v>
      </c>
      <c r="G413" s="14">
        <v>-905478</v>
      </c>
      <c r="H413" s="2"/>
      <c r="I413" s="19"/>
      <c r="J413" s="14">
        <v>0</v>
      </c>
      <c r="K413" s="2"/>
      <c r="L413" s="19"/>
      <c r="M413" s="14">
        <v>0</v>
      </c>
      <c r="N413" s="2"/>
      <c r="O413" s="14">
        <v>-905478</v>
      </c>
      <c r="P413" s="2"/>
      <c r="Q413" s="14">
        <v>-839378</v>
      </c>
      <c r="R413" s="2"/>
      <c r="S413" s="44">
        <f>[1]!DDIFF(-839378,-905478)</f>
        <v>-66100</v>
      </c>
      <c r="T413" s="2"/>
      <c r="U413" s="1"/>
      <c r="V413" s="62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</row>
    <row r="414" spans="1:67" collapsed="1" x14ac:dyDescent="0.25">
      <c r="A414" t="s">
        <v>2190</v>
      </c>
      <c r="E414" s="42" t="s">
        <v>2191</v>
      </c>
      <c r="F414" s="43" t="s">
        <v>2192</v>
      </c>
      <c r="G414" s="14">
        <v>-168760</v>
      </c>
      <c r="H414" s="2"/>
      <c r="I414" s="19"/>
      <c r="J414" s="14">
        <v>0</v>
      </c>
      <c r="K414" s="2"/>
      <c r="L414" s="19"/>
      <c r="M414" s="14">
        <v>-12286</v>
      </c>
      <c r="N414" s="2"/>
      <c r="O414" s="14">
        <v>-181046</v>
      </c>
      <c r="P414" s="2"/>
      <c r="Q414" s="14">
        <v>-134788</v>
      </c>
      <c r="R414" s="2"/>
      <c r="S414" s="44">
        <f>[1]!DDIFF(-134788,-181046)</f>
        <v>-46258</v>
      </c>
      <c r="T414" s="2"/>
      <c r="U414" s="1"/>
      <c r="V414" s="62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</row>
    <row r="415" spans="1:67" hidden="1" outlineLevel="1" x14ac:dyDescent="0.25">
      <c r="A415" t="s">
        <v>2847</v>
      </c>
      <c r="E415" s="7"/>
      <c r="F415" s="10"/>
      <c r="G415" s="14"/>
      <c r="H415" s="2"/>
      <c r="I415" s="19"/>
      <c r="J415" s="14"/>
      <c r="K415" s="2"/>
      <c r="L415" s="54" t="s">
        <v>2840</v>
      </c>
      <c r="M415" s="14">
        <v>-12286</v>
      </c>
      <c r="N415" s="2"/>
      <c r="O415" s="14"/>
      <c r="P415" s="2"/>
      <c r="Q415" s="14"/>
      <c r="R415" s="2"/>
      <c r="S415" s="14"/>
      <c r="T415" s="2"/>
      <c r="U415" s="1"/>
      <c r="V415" s="62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</row>
    <row r="416" spans="1:67" x14ac:dyDescent="0.25">
      <c r="A416" t="s">
        <v>2220</v>
      </c>
      <c r="E416" s="42" t="s">
        <v>2221</v>
      </c>
      <c r="F416" s="43" t="s">
        <v>2222</v>
      </c>
      <c r="G416" s="14">
        <v>-67479</v>
      </c>
      <c r="H416" s="2"/>
      <c r="I416" s="19"/>
      <c r="J416" s="14">
        <v>0</v>
      </c>
      <c r="K416" s="2"/>
      <c r="L416" s="19"/>
      <c r="M416" s="14">
        <v>0</v>
      </c>
      <c r="N416" s="2"/>
      <c r="O416" s="14">
        <v>-67479</v>
      </c>
      <c r="P416" s="2"/>
      <c r="Q416" s="14">
        <v>-65914</v>
      </c>
      <c r="R416" s="2"/>
      <c r="S416" s="44">
        <f>[1]!DDIFF(-65914,-67479)</f>
        <v>-1565</v>
      </c>
      <c r="T416" s="2"/>
      <c r="U416" s="1"/>
      <c r="V416" s="62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</row>
    <row r="417" spans="1:67" collapsed="1" x14ac:dyDescent="0.25">
      <c r="A417" t="s">
        <v>2301</v>
      </c>
      <c r="E417" s="42" t="s">
        <v>2302</v>
      </c>
      <c r="F417" s="43" t="s">
        <v>2303</v>
      </c>
      <c r="G417" s="14">
        <v>-612345</v>
      </c>
      <c r="H417" s="2"/>
      <c r="I417" s="19"/>
      <c r="J417" s="14">
        <v>0</v>
      </c>
      <c r="K417" s="2"/>
      <c r="L417" s="19"/>
      <c r="M417" s="14">
        <v>215</v>
      </c>
      <c r="N417" s="2"/>
      <c r="O417" s="14">
        <v>-612130</v>
      </c>
      <c r="P417" s="2"/>
      <c r="Q417" s="14">
        <v>-482076</v>
      </c>
      <c r="R417" s="2"/>
      <c r="S417" s="44">
        <f>[1]!DDIFF(-482076,-612130)</f>
        <v>-130054</v>
      </c>
      <c r="T417" s="2"/>
      <c r="U417" s="1"/>
      <c r="V417" s="62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</row>
    <row r="418" spans="1:67" hidden="1" outlineLevel="1" x14ac:dyDescent="0.25">
      <c r="A418" t="s">
        <v>2848</v>
      </c>
      <c r="E418" s="7"/>
      <c r="F418" s="10"/>
      <c r="G418" s="14"/>
      <c r="H418" s="2"/>
      <c r="I418" s="19"/>
      <c r="J418" s="14"/>
      <c r="K418" s="2"/>
      <c r="L418" s="54" t="s">
        <v>2840</v>
      </c>
      <c r="M418" s="14">
        <v>215</v>
      </c>
      <c r="N418" s="2"/>
      <c r="O418" s="14"/>
      <c r="P418" s="2"/>
      <c r="Q418" s="14"/>
      <c r="R418" s="2"/>
      <c r="S418" s="14"/>
      <c r="T418" s="2"/>
      <c r="U418" s="1"/>
      <c r="V418" s="62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</row>
    <row r="419" spans="1:67" x14ac:dyDescent="0.25">
      <c r="A419" t="s">
        <v>2381</v>
      </c>
      <c r="E419" s="42" t="s">
        <v>2382</v>
      </c>
      <c r="F419" s="43" t="s">
        <v>2383</v>
      </c>
      <c r="G419" s="14">
        <v>-1013274</v>
      </c>
      <c r="H419" s="2"/>
      <c r="I419" s="19"/>
      <c r="J419" s="14">
        <v>0</v>
      </c>
      <c r="K419" s="2"/>
      <c r="L419" s="19"/>
      <c r="M419" s="14">
        <v>0</v>
      </c>
      <c r="N419" s="2"/>
      <c r="O419" s="14">
        <v>-1013274</v>
      </c>
      <c r="P419" s="2"/>
      <c r="Q419" s="14">
        <v>-711625</v>
      </c>
      <c r="R419" s="2"/>
      <c r="S419" s="44">
        <f>[1]!DDIFF(-711625,-1013274)</f>
        <v>-301649</v>
      </c>
      <c r="T419" s="2"/>
      <c r="U419" s="1"/>
      <c r="V419" s="62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</row>
    <row r="420" spans="1:67" x14ac:dyDescent="0.25">
      <c r="A420" t="s">
        <v>2849</v>
      </c>
      <c r="E420" s="45" t="s">
        <v>2850</v>
      </c>
      <c r="F420" s="46" t="s">
        <v>2843</v>
      </c>
      <c r="G420" s="15">
        <v>-15464</v>
      </c>
      <c r="H420" s="3"/>
      <c r="I420" s="20"/>
      <c r="J420" s="15">
        <v>4949</v>
      </c>
      <c r="K420" s="3"/>
      <c r="L420" s="20"/>
      <c r="M420" s="15">
        <v>10515</v>
      </c>
      <c r="N420" s="3"/>
      <c r="O420" s="15">
        <v>0</v>
      </c>
      <c r="P420" s="3"/>
      <c r="Q420" s="15">
        <v>0</v>
      </c>
      <c r="R420" s="3"/>
      <c r="S420" s="47">
        <f>[1]!DDIFF(0,0)</f>
        <v>0</v>
      </c>
      <c r="T420" s="3"/>
      <c r="U420" s="1"/>
      <c r="V420" s="62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</row>
    <row r="421" spans="1:67" x14ac:dyDescent="0.25">
      <c r="A421" t="s">
        <v>2851</v>
      </c>
      <c r="H421" s="1"/>
      <c r="K421" s="1"/>
      <c r="N421" s="1"/>
      <c r="P421" s="1"/>
      <c r="R421" s="1"/>
      <c r="T421" s="1"/>
      <c r="U421" s="1"/>
      <c r="V421" s="62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</row>
    <row r="422" spans="1:67" hidden="1" x14ac:dyDescent="0.25">
      <c r="A422" t="s">
        <v>913</v>
      </c>
      <c r="E422" s="40" t="s">
        <v>190</v>
      </c>
      <c r="F422" s="11"/>
      <c r="H422" s="1"/>
      <c r="K422" s="1"/>
      <c r="N422" s="1"/>
      <c r="P422" s="1"/>
      <c r="R422" s="1"/>
      <c r="T422" s="1"/>
      <c r="U422" s="1"/>
      <c r="V422" s="62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</row>
    <row r="423" spans="1:67" hidden="1" x14ac:dyDescent="0.25">
      <c r="A423" t="s">
        <v>914</v>
      </c>
      <c r="E423" s="45" t="s">
        <v>192</v>
      </c>
      <c r="F423" s="12"/>
      <c r="G423" s="15">
        <v>0</v>
      </c>
      <c r="H423" s="3"/>
      <c r="I423" s="20"/>
      <c r="J423" s="15">
        <v>0</v>
      </c>
      <c r="K423" s="3"/>
      <c r="L423" s="20"/>
      <c r="M423" s="15">
        <v>0</v>
      </c>
      <c r="N423" s="3"/>
      <c r="O423" s="15">
        <v>0</v>
      </c>
      <c r="P423" s="3"/>
      <c r="Q423" s="15">
        <v>0</v>
      </c>
      <c r="R423" s="3"/>
      <c r="S423" s="47">
        <f>[1]!DDIFF(0,0)</f>
        <v>0</v>
      </c>
      <c r="T423" s="3"/>
      <c r="U423" s="1"/>
      <c r="V423" s="62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</row>
    <row r="424" spans="1:67" ht="15.75" thickBot="1" x14ac:dyDescent="0.3">
      <c r="A424" t="s">
        <v>915</v>
      </c>
      <c r="E424" s="48" t="s">
        <v>916</v>
      </c>
      <c r="F424" s="49" t="s">
        <v>859</v>
      </c>
      <c r="G424" s="16">
        <v>-15463</v>
      </c>
      <c r="H424" s="4"/>
      <c r="I424" s="21"/>
      <c r="J424" s="16">
        <v>4948</v>
      </c>
      <c r="K424" s="4"/>
      <c r="L424" s="21"/>
      <c r="M424" s="16">
        <v>10515</v>
      </c>
      <c r="N424" s="4"/>
      <c r="O424" s="16">
        <v>0</v>
      </c>
      <c r="P424" s="4"/>
      <c r="Q424" s="16">
        <v>0</v>
      </c>
      <c r="R424" s="4"/>
      <c r="S424" s="50">
        <f>[1]!DDIFF(0,0)</f>
        <v>0</v>
      </c>
      <c r="T424" s="4"/>
      <c r="U424" s="1"/>
      <c r="V424" s="62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</row>
    <row r="425" spans="1:67" ht="15.75" thickTop="1" x14ac:dyDescent="0.25">
      <c r="A425" t="s">
        <v>917</v>
      </c>
      <c r="H425" s="1"/>
      <c r="K425" s="1"/>
      <c r="N425" s="1"/>
      <c r="P425" s="1"/>
      <c r="R425" s="1"/>
      <c r="T425" s="1"/>
      <c r="U425" s="1"/>
      <c r="V425" s="62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</row>
    <row r="426" spans="1:67" x14ac:dyDescent="0.25">
      <c r="A426" t="s">
        <v>1031</v>
      </c>
      <c r="E426" s="38" t="s">
        <v>1032</v>
      </c>
      <c r="F426" s="39" t="s">
        <v>1033</v>
      </c>
      <c r="H426" s="1"/>
      <c r="K426" s="1"/>
      <c r="N426" s="1"/>
      <c r="P426" s="1"/>
      <c r="R426" s="1"/>
      <c r="T426" s="1"/>
      <c r="U426" s="1"/>
      <c r="V426" s="62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</row>
    <row r="427" spans="1:67" x14ac:dyDescent="0.25">
      <c r="A427" t="s">
        <v>1034</v>
      </c>
      <c r="E427" s="40" t="s">
        <v>1035</v>
      </c>
      <c r="F427" s="41" t="s">
        <v>1036</v>
      </c>
      <c r="H427" s="1"/>
      <c r="K427" s="1"/>
      <c r="N427" s="1"/>
      <c r="P427" s="1"/>
      <c r="R427" s="1"/>
      <c r="T427" s="1"/>
      <c r="U427" s="1"/>
      <c r="V427" s="62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</row>
    <row r="428" spans="1:67" collapsed="1" x14ac:dyDescent="0.25">
      <c r="A428" t="s">
        <v>1037</v>
      </c>
      <c r="E428" s="42" t="s">
        <v>1038</v>
      </c>
      <c r="F428" s="43" t="s">
        <v>1039</v>
      </c>
      <c r="G428" s="14">
        <v>-633646</v>
      </c>
      <c r="H428" s="2"/>
      <c r="I428" s="19"/>
      <c r="J428" s="14">
        <v>-156385</v>
      </c>
      <c r="K428" s="2"/>
      <c r="L428" s="19"/>
      <c r="M428" s="14">
        <v>0</v>
      </c>
      <c r="N428" s="2"/>
      <c r="O428" s="14">
        <v>-790031</v>
      </c>
      <c r="P428" s="55" t="s">
        <v>2863</v>
      </c>
      <c r="Q428" s="14">
        <v>-792084</v>
      </c>
      <c r="R428" s="2"/>
      <c r="S428" s="44">
        <f>[1]!DDIFF(-792084,-790031)</f>
        <v>2053</v>
      </c>
      <c r="T428" s="2"/>
      <c r="U428" s="1"/>
      <c r="V428" s="62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</row>
    <row r="429" spans="1:67" hidden="1" outlineLevel="1" x14ac:dyDescent="0.25">
      <c r="A429" t="s">
        <v>2798</v>
      </c>
      <c r="E429" s="7"/>
      <c r="F429" s="10"/>
      <c r="G429" s="14"/>
      <c r="H429" s="2"/>
      <c r="I429" s="54" t="s">
        <v>2799</v>
      </c>
      <c r="J429" s="14">
        <v>-156385</v>
      </c>
      <c r="K429" s="2"/>
      <c r="L429" s="19"/>
      <c r="M429" s="14"/>
      <c r="N429" s="2"/>
      <c r="O429" s="14"/>
      <c r="P429" s="2"/>
      <c r="Q429" s="14"/>
      <c r="R429" s="2"/>
      <c r="S429" s="14"/>
      <c r="T429" s="2"/>
      <c r="U429" s="1"/>
      <c r="V429" s="62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</row>
    <row r="430" spans="1:67" hidden="1" x14ac:dyDescent="0.25">
      <c r="A430" t="s">
        <v>1040</v>
      </c>
      <c r="E430" s="42" t="s">
        <v>1041</v>
      </c>
      <c r="F430" s="43" t="s">
        <v>1042</v>
      </c>
      <c r="G430" s="14">
        <v>0</v>
      </c>
      <c r="H430" s="2"/>
      <c r="I430" s="19"/>
      <c r="J430" s="14">
        <v>0</v>
      </c>
      <c r="K430" s="2"/>
      <c r="L430" s="19"/>
      <c r="M430" s="14">
        <v>0</v>
      </c>
      <c r="N430" s="2"/>
      <c r="O430" s="14">
        <v>0</v>
      </c>
      <c r="P430" s="2"/>
      <c r="Q430" s="14">
        <v>0</v>
      </c>
      <c r="R430" s="2"/>
      <c r="S430" s="44">
        <f>[1]!DDIFF(0,0)</f>
        <v>0</v>
      </c>
      <c r="T430" s="2"/>
      <c r="U430" s="1"/>
      <c r="V430" s="62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</row>
    <row r="431" spans="1:67" x14ac:dyDescent="0.25">
      <c r="A431" t="s">
        <v>1043</v>
      </c>
      <c r="E431" s="45" t="s">
        <v>1044</v>
      </c>
      <c r="F431" s="46" t="s">
        <v>1036</v>
      </c>
      <c r="G431" s="15">
        <v>-633646</v>
      </c>
      <c r="H431" s="3"/>
      <c r="I431" s="20"/>
      <c r="J431" s="15">
        <v>-156385</v>
      </c>
      <c r="K431" s="3"/>
      <c r="L431" s="20"/>
      <c r="M431" s="15">
        <v>0</v>
      </c>
      <c r="N431" s="3"/>
      <c r="O431" s="15">
        <v>-790031</v>
      </c>
      <c r="P431" s="3"/>
      <c r="Q431" s="15">
        <v>-792084</v>
      </c>
      <c r="R431" s="3"/>
      <c r="S431" s="47">
        <f>[1]!DDIFF(-792084,-790031)</f>
        <v>2053</v>
      </c>
      <c r="T431" s="3"/>
      <c r="U431" s="1"/>
      <c r="V431" s="62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</row>
    <row r="432" spans="1:67" x14ac:dyDescent="0.25">
      <c r="A432" t="s">
        <v>1045</v>
      </c>
      <c r="H432" s="1"/>
      <c r="K432" s="1"/>
      <c r="N432" s="1"/>
      <c r="P432" s="1"/>
      <c r="R432" s="1"/>
      <c r="T432" s="1"/>
      <c r="U432" s="1"/>
      <c r="V432" s="62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</row>
    <row r="433" spans="1:67" x14ac:dyDescent="0.25">
      <c r="A433" t="s">
        <v>1046</v>
      </c>
      <c r="E433" s="40" t="s">
        <v>1047</v>
      </c>
      <c r="F433" s="41" t="s">
        <v>1048</v>
      </c>
      <c r="H433" s="1"/>
      <c r="K433" s="1"/>
      <c r="N433" s="1"/>
      <c r="P433" s="1"/>
      <c r="R433" s="1"/>
      <c r="T433" s="1"/>
      <c r="U433" s="1"/>
      <c r="V433" s="62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</row>
    <row r="434" spans="1:67" hidden="1" x14ac:dyDescent="0.25">
      <c r="A434" t="s">
        <v>1049</v>
      </c>
      <c r="E434" s="42" t="s">
        <v>1050</v>
      </c>
      <c r="F434" s="43" t="s">
        <v>1051</v>
      </c>
      <c r="G434" s="14">
        <v>0</v>
      </c>
      <c r="H434" s="2"/>
      <c r="I434" s="19"/>
      <c r="J434" s="14">
        <v>0</v>
      </c>
      <c r="K434" s="2"/>
      <c r="L434" s="19"/>
      <c r="M434" s="14">
        <v>0</v>
      </c>
      <c r="N434" s="2"/>
      <c r="O434" s="14">
        <v>0</v>
      </c>
      <c r="P434" s="2"/>
      <c r="Q434" s="14">
        <v>0</v>
      </c>
      <c r="R434" s="2"/>
      <c r="S434" s="44">
        <f>[1]!DDIFF(0,0)</f>
        <v>0</v>
      </c>
      <c r="T434" s="2"/>
      <c r="U434" s="1"/>
      <c r="V434" s="62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</row>
    <row r="435" spans="1:67" hidden="1" x14ac:dyDescent="0.25">
      <c r="A435" t="s">
        <v>1052</v>
      </c>
      <c r="E435" s="42" t="s">
        <v>1053</v>
      </c>
      <c r="F435" s="43" t="s">
        <v>1054</v>
      </c>
      <c r="G435" s="14">
        <v>0</v>
      </c>
      <c r="H435" s="2"/>
      <c r="I435" s="19"/>
      <c r="J435" s="14">
        <v>0</v>
      </c>
      <c r="K435" s="2"/>
      <c r="L435" s="19"/>
      <c r="M435" s="14">
        <v>0</v>
      </c>
      <c r="N435" s="2"/>
      <c r="O435" s="14">
        <v>0</v>
      </c>
      <c r="P435" s="2"/>
      <c r="Q435" s="14">
        <v>0</v>
      </c>
      <c r="R435" s="2"/>
      <c r="S435" s="44">
        <f>[1]!DDIFF(0,0)</f>
        <v>0</v>
      </c>
      <c r="T435" s="2"/>
      <c r="U435" s="1"/>
      <c r="V435" s="62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</row>
    <row r="436" spans="1:67" hidden="1" x14ac:dyDescent="0.25">
      <c r="A436" t="s">
        <v>1055</v>
      </c>
      <c r="E436" s="42" t="s">
        <v>1056</v>
      </c>
      <c r="F436" s="43" t="s">
        <v>1057</v>
      </c>
      <c r="G436" s="14">
        <v>0</v>
      </c>
      <c r="H436" s="2"/>
      <c r="I436" s="19"/>
      <c r="J436" s="14">
        <v>0</v>
      </c>
      <c r="K436" s="2"/>
      <c r="L436" s="19"/>
      <c r="M436" s="14">
        <v>0</v>
      </c>
      <c r="N436" s="2"/>
      <c r="O436" s="14">
        <v>0</v>
      </c>
      <c r="P436" s="2"/>
      <c r="Q436" s="14">
        <v>0</v>
      </c>
      <c r="R436" s="2"/>
      <c r="S436" s="44">
        <f>[1]!DDIFF(0,0)</f>
        <v>0</v>
      </c>
      <c r="T436" s="2"/>
      <c r="U436" s="1"/>
      <c r="V436" s="62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</row>
    <row r="437" spans="1:67" hidden="1" x14ac:dyDescent="0.25">
      <c r="A437" t="s">
        <v>1058</v>
      </c>
      <c r="E437" s="42" t="s">
        <v>1059</v>
      </c>
      <c r="F437" s="43" t="s">
        <v>1060</v>
      </c>
      <c r="G437" s="14">
        <v>0</v>
      </c>
      <c r="H437" s="2"/>
      <c r="I437" s="19"/>
      <c r="J437" s="14">
        <v>0</v>
      </c>
      <c r="K437" s="2"/>
      <c r="L437" s="19"/>
      <c r="M437" s="14">
        <v>0</v>
      </c>
      <c r="N437" s="2"/>
      <c r="O437" s="14">
        <v>0</v>
      </c>
      <c r="P437" s="2"/>
      <c r="Q437" s="14">
        <v>0</v>
      </c>
      <c r="R437" s="2"/>
      <c r="S437" s="44">
        <f>[1]!DDIFF(0,0)</f>
        <v>0</v>
      </c>
      <c r="T437" s="2"/>
      <c r="U437" s="1"/>
      <c r="V437" s="62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</row>
    <row r="438" spans="1:67" x14ac:dyDescent="0.25">
      <c r="A438" t="s">
        <v>1061</v>
      </c>
      <c r="E438" s="42" t="s">
        <v>1062</v>
      </c>
      <c r="F438" s="43" t="s">
        <v>1063</v>
      </c>
      <c r="G438" s="14">
        <v>-1995808</v>
      </c>
      <c r="H438" s="2"/>
      <c r="I438" s="19"/>
      <c r="J438" s="14">
        <v>0</v>
      </c>
      <c r="K438" s="2"/>
      <c r="L438" s="19"/>
      <c r="M438" s="14">
        <v>0</v>
      </c>
      <c r="N438" s="2"/>
      <c r="O438" s="14">
        <v>-1995808</v>
      </c>
      <c r="P438" s="55" t="s">
        <v>2863</v>
      </c>
      <c r="Q438" s="14">
        <v>-2565988</v>
      </c>
      <c r="R438" s="2"/>
      <c r="S438" s="44">
        <f>[1]!DDIFF(-2565988,-1995808)</f>
        <v>570180</v>
      </c>
      <c r="T438" s="2"/>
      <c r="U438" s="1"/>
      <c r="V438" s="62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</row>
    <row r="439" spans="1:67" hidden="1" x14ac:dyDescent="0.25">
      <c r="A439" t="s">
        <v>1064</v>
      </c>
      <c r="E439" s="42" t="s">
        <v>1065</v>
      </c>
      <c r="F439" s="43" t="s">
        <v>1066</v>
      </c>
      <c r="G439" s="14">
        <v>0</v>
      </c>
      <c r="H439" s="2"/>
      <c r="I439" s="19"/>
      <c r="J439" s="14">
        <v>0</v>
      </c>
      <c r="K439" s="2"/>
      <c r="L439" s="19"/>
      <c r="M439" s="14">
        <v>0</v>
      </c>
      <c r="N439" s="2"/>
      <c r="O439" s="14">
        <v>0</v>
      </c>
      <c r="P439" s="55" t="s">
        <v>2863</v>
      </c>
      <c r="Q439" s="14">
        <v>0</v>
      </c>
      <c r="R439" s="2"/>
      <c r="S439" s="44">
        <f>[1]!DDIFF(0,0)</f>
        <v>0</v>
      </c>
      <c r="T439" s="2"/>
      <c r="U439" s="1"/>
      <c r="V439" s="62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</row>
    <row r="440" spans="1:67" collapsed="1" x14ac:dyDescent="0.25">
      <c r="A440" t="s">
        <v>1067</v>
      </c>
      <c r="E440" s="42" t="s">
        <v>1068</v>
      </c>
      <c r="F440" s="43" t="s">
        <v>1069</v>
      </c>
      <c r="G440" s="14">
        <v>-1565456</v>
      </c>
      <c r="H440" s="2"/>
      <c r="I440" s="19"/>
      <c r="J440" s="14">
        <v>-18490</v>
      </c>
      <c r="K440" s="2"/>
      <c r="L440" s="19"/>
      <c r="M440" s="14">
        <v>0</v>
      </c>
      <c r="N440" s="2"/>
      <c r="O440" s="14">
        <v>-1583946</v>
      </c>
      <c r="P440" s="55" t="s">
        <v>2863</v>
      </c>
      <c r="Q440" s="14">
        <v>-1707256</v>
      </c>
      <c r="R440" s="2"/>
      <c r="S440" s="44">
        <f>[1]!DDIFF(-1707256,-1583946)</f>
        <v>123310</v>
      </c>
      <c r="T440" s="2"/>
      <c r="U440" s="1"/>
      <c r="V440" s="62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</row>
    <row r="441" spans="1:67" hidden="1" outlineLevel="1" x14ac:dyDescent="0.25">
      <c r="A441" t="s">
        <v>2800</v>
      </c>
      <c r="E441" s="7"/>
      <c r="F441" s="10"/>
      <c r="G441" s="14"/>
      <c r="H441" s="2"/>
      <c r="I441" s="54" t="s">
        <v>2799</v>
      </c>
      <c r="J441" s="14">
        <v>-18490</v>
      </c>
      <c r="K441" s="2"/>
      <c r="L441" s="19"/>
      <c r="M441" s="14"/>
      <c r="N441" s="2"/>
      <c r="O441" s="14"/>
      <c r="P441" s="55" t="s">
        <v>2863</v>
      </c>
      <c r="Q441" s="14"/>
      <c r="R441" s="2"/>
      <c r="S441" s="14"/>
      <c r="T441" s="2"/>
      <c r="U441" s="1"/>
      <c r="V441" s="62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</row>
    <row r="442" spans="1:67" collapsed="1" x14ac:dyDescent="0.25">
      <c r="A442" t="s">
        <v>1070</v>
      </c>
      <c r="E442" s="42" t="s">
        <v>1071</v>
      </c>
      <c r="F442" s="43" t="s">
        <v>1072</v>
      </c>
      <c r="G442" s="14">
        <v>-818548</v>
      </c>
      <c r="H442" s="2"/>
      <c r="I442" s="19"/>
      <c r="J442" s="14">
        <v>0</v>
      </c>
      <c r="K442" s="2"/>
      <c r="L442" s="19"/>
      <c r="M442" s="14">
        <v>0</v>
      </c>
      <c r="N442" s="2"/>
      <c r="O442" s="14">
        <v>-818548</v>
      </c>
      <c r="P442" s="55" t="s">
        <v>2863</v>
      </c>
      <c r="Q442" s="14">
        <v>-857648</v>
      </c>
      <c r="R442" s="2"/>
      <c r="S442" s="44">
        <f>[1]!DDIFF(-857648,-818548)</f>
        <v>39100</v>
      </c>
      <c r="T442" s="2"/>
      <c r="U442" s="1"/>
      <c r="V442" s="62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</row>
    <row r="443" spans="1:67" collapsed="1" x14ac:dyDescent="0.25">
      <c r="A443" t="s">
        <v>2663</v>
      </c>
      <c r="E443" s="42" t="s">
        <v>2664</v>
      </c>
      <c r="F443" s="43" t="s">
        <v>2665</v>
      </c>
      <c r="G443" s="14">
        <v>-1023387</v>
      </c>
      <c r="H443" s="2"/>
      <c r="I443" s="19"/>
      <c r="J443" s="14">
        <v>49257</v>
      </c>
      <c r="K443" s="2"/>
      <c r="L443" s="19"/>
      <c r="M443" s="14">
        <v>0</v>
      </c>
      <c r="N443" s="2"/>
      <c r="O443" s="14">
        <v>-974130</v>
      </c>
      <c r="P443" s="55" t="s">
        <v>2863</v>
      </c>
      <c r="Q443" s="14">
        <v>-562233</v>
      </c>
      <c r="R443" s="2"/>
      <c r="S443" s="44">
        <f>[1]!DDIFF(-562233,-974130)</f>
        <v>-411897</v>
      </c>
      <c r="T443" s="2"/>
      <c r="U443" s="1"/>
      <c r="V443" s="62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</row>
    <row r="444" spans="1:67" hidden="1" outlineLevel="1" x14ac:dyDescent="0.25">
      <c r="A444" t="s">
        <v>2801</v>
      </c>
      <c r="E444" s="7"/>
      <c r="F444" s="10"/>
      <c r="G444" s="14"/>
      <c r="H444" s="2"/>
      <c r="I444" s="54" t="s">
        <v>2799</v>
      </c>
      <c r="J444" s="14">
        <v>49257</v>
      </c>
      <c r="K444" s="2"/>
      <c r="L444" s="19"/>
      <c r="M444" s="14"/>
      <c r="N444" s="2"/>
      <c r="O444" s="14"/>
      <c r="P444" s="55" t="s">
        <v>2863</v>
      </c>
      <c r="Q444" s="14"/>
      <c r="R444" s="2"/>
      <c r="S444" s="14"/>
      <c r="T444" s="2"/>
      <c r="U444" s="1"/>
      <c r="V444" s="62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</row>
    <row r="445" spans="1:67" collapsed="1" x14ac:dyDescent="0.25">
      <c r="A445" t="s">
        <v>2678</v>
      </c>
      <c r="E445" s="42" t="s">
        <v>2679</v>
      </c>
      <c r="F445" s="43" t="s">
        <v>2680</v>
      </c>
      <c r="G445" s="14">
        <v>-939004</v>
      </c>
      <c r="H445" s="2"/>
      <c r="I445" s="19"/>
      <c r="J445" s="14">
        <v>-27329</v>
      </c>
      <c r="K445" s="2"/>
      <c r="L445" s="19"/>
      <c r="M445" s="14">
        <v>0</v>
      </c>
      <c r="N445" s="2"/>
      <c r="O445" s="14">
        <v>-966333</v>
      </c>
      <c r="P445" s="55" t="s">
        <v>2863</v>
      </c>
      <c r="Q445" s="14">
        <v>-307548</v>
      </c>
      <c r="R445" s="2"/>
      <c r="S445" s="44">
        <f>[1]!DDIFF(-307548,-966333)</f>
        <v>-658785</v>
      </c>
      <c r="T445" s="2"/>
      <c r="U445" s="1"/>
      <c r="V445" s="62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</row>
    <row r="446" spans="1:67" hidden="1" outlineLevel="1" x14ac:dyDescent="0.25">
      <c r="A446" t="s">
        <v>2812</v>
      </c>
      <c r="E446" s="7"/>
      <c r="F446" s="10"/>
      <c r="G446" s="14"/>
      <c r="H446" s="2"/>
      <c r="I446" s="54" t="s">
        <v>2799</v>
      </c>
      <c r="J446" s="14">
        <v>-27329</v>
      </c>
      <c r="K446" s="2"/>
      <c r="L446" s="19"/>
      <c r="M446" s="14"/>
      <c r="N446" s="2"/>
      <c r="O446" s="14"/>
      <c r="P446" s="55" t="s">
        <v>2863</v>
      </c>
      <c r="Q446" s="14"/>
      <c r="R446" s="2"/>
      <c r="S446" s="14"/>
      <c r="T446" s="2"/>
      <c r="U446" s="1"/>
      <c r="V446" s="62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</row>
    <row r="447" spans="1:67" collapsed="1" x14ac:dyDescent="0.25">
      <c r="A447" t="s">
        <v>1073</v>
      </c>
      <c r="E447" s="42" t="s">
        <v>1074</v>
      </c>
      <c r="F447" s="43" t="s">
        <v>1075</v>
      </c>
      <c r="G447" s="14">
        <v>633946</v>
      </c>
      <c r="H447" s="2"/>
      <c r="I447" s="19"/>
      <c r="J447" s="14">
        <v>156085</v>
      </c>
      <c r="K447" s="2"/>
      <c r="L447" s="19"/>
      <c r="M447" s="14">
        <v>0</v>
      </c>
      <c r="N447" s="2"/>
      <c r="O447" s="14">
        <v>790031</v>
      </c>
      <c r="P447" s="55" t="s">
        <v>2863</v>
      </c>
      <c r="Q447" s="14">
        <v>792084</v>
      </c>
      <c r="R447" s="2"/>
      <c r="S447" s="44">
        <f>[1]!DDIFF(792084,790031)</f>
        <v>-2053</v>
      </c>
      <c r="T447" s="2"/>
      <c r="U447" s="1"/>
      <c r="V447" s="62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</row>
    <row r="448" spans="1:67" hidden="1" outlineLevel="1" x14ac:dyDescent="0.25">
      <c r="A448" t="s">
        <v>2802</v>
      </c>
      <c r="E448" s="7"/>
      <c r="F448" s="10"/>
      <c r="G448" s="14"/>
      <c r="H448" s="2"/>
      <c r="I448" s="54" t="s">
        <v>2799</v>
      </c>
      <c r="J448" s="14">
        <v>156085</v>
      </c>
      <c r="K448" s="2"/>
      <c r="L448" s="19"/>
      <c r="M448" s="14"/>
      <c r="N448" s="2"/>
      <c r="O448" s="14"/>
      <c r="P448" s="2"/>
      <c r="Q448" s="14"/>
      <c r="R448" s="2"/>
      <c r="S448" s="14"/>
      <c r="T448" s="2"/>
      <c r="U448" s="1"/>
      <c r="V448" s="62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</row>
    <row r="449" spans="1:67" hidden="1" x14ac:dyDescent="0.25">
      <c r="A449" t="s">
        <v>1076</v>
      </c>
      <c r="E449" s="42" t="s">
        <v>1077</v>
      </c>
      <c r="F449" s="43" t="s">
        <v>1078</v>
      </c>
      <c r="G449" s="14">
        <v>0</v>
      </c>
      <c r="H449" s="2"/>
      <c r="I449" s="19"/>
      <c r="J449" s="14">
        <v>0</v>
      </c>
      <c r="K449" s="2"/>
      <c r="L449" s="19"/>
      <c r="M449" s="14">
        <v>0</v>
      </c>
      <c r="N449" s="2"/>
      <c r="O449" s="14">
        <v>0</v>
      </c>
      <c r="P449" s="2"/>
      <c r="Q449" s="14">
        <v>0</v>
      </c>
      <c r="R449" s="2"/>
      <c r="S449" s="44">
        <f>[1]!DDIFF(0,0)</f>
        <v>0</v>
      </c>
      <c r="T449" s="2"/>
      <c r="U449" s="1"/>
      <c r="V449" s="62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</row>
    <row r="450" spans="1:67" hidden="1" x14ac:dyDescent="0.25">
      <c r="A450" t="s">
        <v>1079</v>
      </c>
      <c r="E450" s="42" t="s">
        <v>1080</v>
      </c>
      <c r="F450" s="43" t="s">
        <v>1081</v>
      </c>
      <c r="G450" s="14">
        <v>0</v>
      </c>
      <c r="H450" s="2"/>
      <c r="I450" s="19"/>
      <c r="J450" s="14">
        <v>0</v>
      </c>
      <c r="K450" s="2"/>
      <c r="L450" s="19"/>
      <c r="M450" s="14">
        <v>0</v>
      </c>
      <c r="N450" s="2"/>
      <c r="O450" s="14">
        <v>0</v>
      </c>
      <c r="P450" s="2"/>
      <c r="Q450" s="14">
        <v>0</v>
      </c>
      <c r="R450" s="2"/>
      <c r="S450" s="44">
        <f>[1]!DDIFF(0,0)</f>
        <v>0</v>
      </c>
      <c r="T450" s="2"/>
      <c r="U450" s="1"/>
      <c r="V450" s="62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</row>
    <row r="451" spans="1:67" hidden="1" x14ac:dyDescent="0.25">
      <c r="A451" t="s">
        <v>1082</v>
      </c>
      <c r="E451" s="42" t="s">
        <v>1083</v>
      </c>
      <c r="F451" s="43" t="s">
        <v>1084</v>
      </c>
      <c r="G451" s="14">
        <v>0</v>
      </c>
      <c r="H451" s="2"/>
      <c r="I451" s="19"/>
      <c r="J451" s="14">
        <v>0</v>
      </c>
      <c r="K451" s="2"/>
      <c r="L451" s="19"/>
      <c r="M451" s="14">
        <v>0</v>
      </c>
      <c r="N451" s="2"/>
      <c r="O451" s="14">
        <v>0</v>
      </c>
      <c r="P451" s="2"/>
      <c r="Q451" s="14">
        <v>0</v>
      </c>
      <c r="R451" s="2"/>
      <c r="S451" s="44">
        <f>[1]!DDIFF(0,0)</f>
        <v>0</v>
      </c>
      <c r="T451" s="2"/>
      <c r="U451" s="1"/>
      <c r="V451" s="62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</row>
    <row r="452" spans="1:67" hidden="1" x14ac:dyDescent="0.25">
      <c r="A452" t="s">
        <v>1085</v>
      </c>
      <c r="E452" s="42" t="s">
        <v>1086</v>
      </c>
      <c r="F452" s="43" t="s">
        <v>1087</v>
      </c>
      <c r="G452" s="14">
        <v>0</v>
      </c>
      <c r="H452" s="2"/>
      <c r="I452" s="19"/>
      <c r="J452" s="14">
        <v>0</v>
      </c>
      <c r="K452" s="2"/>
      <c r="L452" s="19"/>
      <c r="M452" s="14">
        <v>0</v>
      </c>
      <c r="N452" s="2"/>
      <c r="O452" s="14">
        <v>0</v>
      </c>
      <c r="P452" s="2"/>
      <c r="Q452" s="14">
        <v>0</v>
      </c>
      <c r="R452" s="2"/>
      <c r="S452" s="44">
        <f>[1]!DDIFF(0,0)</f>
        <v>0</v>
      </c>
      <c r="T452" s="2"/>
      <c r="U452" s="1"/>
      <c r="V452" s="62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</row>
    <row r="453" spans="1:67" hidden="1" x14ac:dyDescent="0.25">
      <c r="A453" t="s">
        <v>1088</v>
      </c>
      <c r="E453" s="42" t="s">
        <v>1089</v>
      </c>
      <c r="F453" s="43" t="s">
        <v>1090</v>
      </c>
      <c r="G453" s="14">
        <v>0</v>
      </c>
      <c r="H453" s="2"/>
      <c r="I453" s="19"/>
      <c r="J453" s="14">
        <v>0</v>
      </c>
      <c r="K453" s="2"/>
      <c r="L453" s="19"/>
      <c r="M453" s="14">
        <v>0</v>
      </c>
      <c r="N453" s="2"/>
      <c r="O453" s="14">
        <v>0</v>
      </c>
      <c r="P453" s="2"/>
      <c r="Q453" s="14">
        <v>0</v>
      </c>
      <c r="R453" s="2"/>
      <c r="S453" s="44">
        <f>[1]!DDIFF(0,0)</f>
        <v>0</v>
      </c>
      <c r="T453" s="2"/>
      <c r="U453" s="1"/>
      <c r="V453" s="62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</row>
    <row r="454" spans="1:67" hidden="1" x14ac:dyDescent="0.25">
      <c r="A454" t="s">
        <v>1091</v>
      </c>
      <c r="E454" s="42" t="s">
        <v>1092</v>
      </c>
      <c r="F454" s="43" t="s">
        <v>1093</v>
      </c>
      <c r="G454" s="14">
        <v>0</v>
      </c>
      <c r="H454" s="2"/>
      <c r="I454" s="19"/>
      <c r="J454" s="14">
        <v>0</v>
      </c>
      <c r="K454" s="2"/>
      <c r="L454" s="19"/>
      <c r="M454" s="14">
        <v>0</v>
      </c>
      <c r="N454" s="2"/>
      <c r="O454" s="14">
        <v>0</v>
      </c>
      <c r="P454" s="2"/>
      <c r="Q454" s="14">
        <v>0</v>
      </c>
      <c r="R454" s="2"/>
      <c r="S454" s="44">
        <f>[1]!DDIFF(0,0)</f>
        <v>0</v>
      </c>
      <c r="T454" s="2"/>
      <c r="U454" s="1"/>
      <c r="V454" s="62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</row>
    <row r="455" spans="1:67" x14ac:dyDescent="0.25">
      <c r="A455" t="s">
        <v>1094</v>
      </c>
      <c r="E455" s="45" t="s">
        <v>1095</v>
      </c>
      <c r="F455" s="46" t="s">
        <v>1048</v>
      </c>
      <c r="G455" s="15">
        <v>-5708257</v>
      </c>
      <c r="H455" s="3"/>
      <c r="I455" s="20"/>
      <c r="J455" s="15">
        <v>159523</v>
      </c>
      <c r="K455" s="3"/>
      <c r="L455" s="20"/>
      <c r="M455" s="15">
        <v>0</v>
      </c>
      <c r="N455" s="3"/>
      <c r="O455" s="15">
        <v>-5548734</v>
      </c>
      <c r="P455" s="3"/>
      <c r="Q455" s="15">
        <v>-5208589</v>
      </c>
      <c r="R455" s="3"/>
      <c r="S455" s="47">
        <f>[1]!DDIFF(-5208589,-5548734)</f>
        <v>-340145</v>
      </c>
      <c r="T455" s="3"/>
      <c r="U455" s="1"/>
      <c r="V455" s="62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</row>
    <row r="456" spans="1:67" x14ac:dyDescent="0.25">
      <c r="A456" t="s">
        <v>1096</v>
      </c>
      <c r="H456" s="1"/>
      <c r="K456" s="1"/>
      <c r="N456" s="1"/>
      <c r="P456" s="1"/>
      <c r="R456" s="1"/>
      <c r="T456" s="1"/>
      <c r="U456" s="1"/>
      <c r="V456" s="62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</row>
    <row r="457" spans="1:67" hidden="1" x14ac:dyDescent="0.25">
      <c r="A457" t="s">
        <v>1097</v>
      </c>
      <c r="E457" s="40" t="s">
        <v>190</v>
      </c>
      <c r="F457" s="11"/>
      <c r="H457" s="1"/>
      <c r="K457" s="1"/>
      <c r="N457" s="1"/>
      <c r="P457" s="1"/>
      <c r="R457" s="1"/>
      <c r="T457" s="1"/>
      <c r="U457" s="1"/>
      <c r="V457" s="62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</row>
    <row r="458" spans="1:67" hidden="1" x14ac:dyDescent="0.25">
      <c r="A458" t="s">
        <v>1098</v>
      </c>
      <c r="E458" s="45" t="s">
        <v>192</v>
      </c>
      <c r="F458" s="12"/>
      <c r="G458" s="15">
        <v>0</v>
      </c>
      <c r="H458" s="3"/>
      <c r="I458" s="20"/>
      <c r="J458" s="15">
        <v>0</v>
      </c>
      <c r="K458" s="3"/>
      <c r="L458" s="20"/>
      <c r="M458" s="15">
        <v>0</v>
      </c>
      <c r="N458" s="3"/>
      <c r="O458" s="15">
        <v>0</v>
      </c>
      <c r="P458" s="3"/>
      <c r="Q458" s="15">
        <v>0</v>
      </c>
      <c r="R458" s="3"/>
      <c r="S458" s="47">
        <f>[1]!DDIFF(0,0)</f>
        <v>0</v>
      </c>
      <c r="T458" s="3"/>
      <c r="U458" s="1"/>
      <c r="V458" s="62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</row>
    <row r="459" spans="1:67" ht="15.75" thickBot="1" x14ac:dyDescent="0.3">
      <c r="A459" t="s">
        <v>1099</v>
      </c>
      <c r="E459" s="48" t="s">
        <v>1100</v>
      </c>
      <c r="F459" s="49" t="s">
        <v>1033</v>
      </c>
      <c r="G459" s="16">
        <v>-6341903</v>
      </c>
      <c r="H459" s="4"/>
      <c r="I459" s="21"/>
      <c r="J459" s="16">
        <v>3138</v>
      </c>
      <c r="K459" s="4"/>
      <c r="L459" s="21"/>
      <c r="M459" s="16">
        <v>0</v>
      </c>
      <c r="N459" s="4"/>
      <c r="O459" s="16">
        <v>-6338765</v>
      </c>
      <c r="P459" s="4"/>
      <c r="Q459" s="16">
        <v>-6000673</v>
      </c>
      <c r="R459" s="4"/>
      <c r="S459" s="50">
        <f>[1]!DDIFF(-6000673,-6338765)</f>
        <v>-338092</v>
      </c>
      <c r="T459" s="4"/>
      <c r="U459" s="1"/>
      <c r="V459" s="62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</row>
    <row r="460" spans="1:67" ht="15.75" thickTop="1" x14ac:dyDescent="0.25">
      <c r="A460" t="s">
        <v>1101</v>
      </c>
      <c r="H460" s="1"/>
      <c r="K460" s="1"/>
      <c r="N460" s="1"/>
      <c r="P460" s="1"/>
      <c r="R460" s="1"/>
      <c r="T460" s="1"/>
      <c r="U460" s="1"/>
      <c r="V460" s="62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</row>
    <row r="461" spans="1:67" x14ac:dyDescent="0.25">
      <c r="A461" t="s">
        <v>1102</v>
      </c>
      <c r="E461" s="38" t="s">
        <v>1103</v>
      </c>
      <c r="F461" s="39" t="s">
        <v>1104</v>
      </c>
      <c r="H461" s="1"/>
      <c r="K461" s="1"/>
      <c r="N461" s="1"/>
      <c r="P461" s="1"/>
      <c r="R461" s="1"/>
      <c r="T461" s="1"/>
      <c r="U461" s="1"/>
      <c r="V461" s="62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</row>
    <row r="462" spans="1:67" x14ac:dyDescent="0.25">
      <c r="A462" t="s">
        <v>1105</v>
      </c>
      <c r="E462" s="40" t="s">
        <v>1106</v>
      </c>
      <c r="F462" s="41" t="s">
        <v>1107</v>
      </c>
      <c r="H462" s="1"/>
      <c r="K462" s="1"/>
      <c r="N462" s="1"/>
      <c r="P462" s="1"/>
      <c r="R462" s="1"/>
      <c r="T462" s="1"/>
      <c r="U462" s="1"/>
      <c r="V462" s="62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</row>
    <row r="463" spans="1:67" x14ac:dyDescent="0.25">
      <c r="A463" t="s">
        <v>1108</v>
      </c>
      <c r="E463" s="42" t="s">
        <v>1109</v>
      </c>
      <c r="F463" s="43" t="s">
        <v>1110</v>
      </c>
      <c r="G463" s="14">
        <v>-45866</v>
      </c>
      <c r="H463" s="2"/>
      <c r="I463" s="19"/>
      <c r="J463" s="14">
        <v>0</v>
      </c>
      <c r="K463" s="2"/>
      <c r="L463" s="19"/>
      <c r="M463" s="14">
        <v>0</v>
      </c>
      <c r="N463" s="2"/>
      <c r="O463" s="14">
        <v>-45866</v>
      </c>
      <c r="P463" s="55" t="s">
        <v>2866</v>
      </c>
      <c r="Q463" s="14">
        <v>-46091</v>
      </c>
      <c r="R463" s="2"/>
      <c r="S463" s="44">
        <f>[1]!DDIFF(-46091,-45866)</f>
        <v>225</v>
      </c>
      <c r="T463" s="2"/>
      <c r="U463" s="55" t="s">
        <v>2866</v>
      </c>
      <c r="V463" s="62">
        <f>+O463+O469</f>
        <v>-104931</v>
      </c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</row>
    <row r="464" spans="1:67" x14ac:dyDescent="0.25">
      <c r="A464" t="s">
        <v>1111</v>
      </c>
      <c r="E464" s="45" t="s">
        <v>1112</v>
      </c>
      <c r="F464" s="46" t="s">
        <v>1107</v>
      </c>
      <c r="G464" s="15">
        <v>-45866</v>
      </c>
      <c r="H464" s="3"/>
      <c r="I464" s="20"/>
      <c r="J464" s="15">
        <v>0</v>
      </c>
      <c r="K464" s="3"/>
      <c r="L464" s="20"/>
      <c r="M464" s="15">
        <v>0</v>
      </c>
      <c r="N464" s="3"/>
      <c r="O464" s="15">
        <v>-45866</v>
      </c>
      <c r="P464" s="3"/>
      <c r="Q464" s="15">
        <v>-46091</v>
      </c>
      <c r="R464" s="3"/>
      <c r="S464" s="47">
        <f>[1]!DDIFF(-46091,-45866)</f>
        <v>225</v>
      </c>
      <c r="T464" s="3"/>
      <c r="U464" s="1"/>
      <c r="V464" s="62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</row>
    <row r="465" spans="1:67" x14ac:dyDescent="0.25">
      <c r="A465" t="s">
        <v>1113</v>
      </c>
      <c r="H465" s="1"/>
      <c r="K465" s="1"/>
      <c r="N465" s="1"/>
      <c r="P465" s="1"/>
      <c r="R465" s="1"/>
      <c r="T465" s="1"/>
      <c r="U465" s="1"/>
      <c r="V465" s="62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</row>
    <row r="466" spans="1:67" x14ac:dyDescent="0.25">
      <c r="A466" t="s">
        <v>1114</v>
      </c>
      <c r="E466" s="40" t="s">
        <v>1115</v>
      </c>
      <c r="F466" s="41" t="s">
        <v>1116</v>
      </c>
      <c r="H466" s="1"/>
      <c r="K466" s="1"/>
      <c r="N466" s="1"/>
      <c r="P466" s="1"/>
      <c r="R466" s="1"/>
      <c r="T466" s="1"/>
      <c r="U466" s="1"/>
      <c r="V466" s="62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</row>
    <row r="467" spans="1:67" hidden="1" x14ac:dyDescent="0.25">
      <c r="A467" t="s">
        <v>1117</v>
      </c>
      <c r="E467" s="42" t="s">
        <v>1118</v>
      </c>
      <c r="F467" s="43" t="s">
        <v>1119</v>
      </c>
      <c r="G467" s="14">
        <v>0</v>
      </c>
      <c r="H467" s="2"/>
      <c r="I467" s="19"/>
      <c r="J467" s="14">
        <v>0</v>
      </c>
      <c r="K467" s="2"/>
      <c r="L467" s="19"/>
      <c r="M467" s="14">
        <v>0</v>
      </c>
      <c r="N467" s="2"/>
      <c r="O467" s="14">
        <v>0</v>
      </c>
      <c r="P467" s="2"/>
      <c r="Q467" s="14">
        <v>0</v>
      </c>
      <c r="R467" s="2"/>
      <c r="S467" s="44">
        <f>[1]!DDIFF(0,0)</f>
        <v>0</v>
      </c>
      <c r="T467" s="2"/>
      <c r="U467" s="1"/>
      <c r="V467" s="62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</row>
    <row r="468" spans="1:67" hidden="1" x14ac:dyDescent="0.25">
      <c r="A468" t="s">
        <v>1120</v>
      </c>
      <c r="E468" s="42" t="s">
        <v>1121</v>
      </c>
      <c r="F468" s="43" t="s">
        <v>1122</v>
      </c>
      <c r="G468" s="14">
        <v>0</v>
      </c>
      <c r="H468" s="2"/>
      <c r="I468" s="19"/>
      <c r="J468" s="14">
        <v>0</v>
      </c>
      <c r="K468" s="2"/>
      <c r="L468" s="19"/>
      <c r="M468" s="14">
        <v>0</v>
      </c>
      <c r="N468" s="2"/>
      <c r="O468" s="14">
        <v>0</v>
      </c>
      <c r="P468" s="2"/>
      <c r="Q468" s="14">
        <v>0</v>
      </c>
      <c r="R468" s="2"/>
      <c r="S468" s="44">
        <f>[1]!DDIFF(0,0)</f>
        <v>0</v>
      </c>
      <c r="T468" s="2"/>
      <c r="U468" s="1"/>
      <c r="V468" s="62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</row>
    <row r="469" spans="1:67" collapsed="1" x14ac:dyDescent="0.25">
      <c r="A469" t="s">
        <v>1123</v>
      </c>
      <c r="E469" s="42" t="s">
        <v>1124</v>
      </c>
      <c r="F469" s="43" t="s">
        <v>1119</v>
      </c>
      <c r="G469" s="14">
        <v>-53244</v>
      </c>
      <c r="H469" s="2"/>
      <c r="I469" s="19"/>
      <c r="J469" s="14">
        <v>0</v>
      </c>
      <c r="K469" s="2"/>
      <c r="L469" s="19"/>
      <c r="M469" s="14">
        <v>-5821</v>
      </c>
      <c r="N469" s="2"/>
      <c r="O469" s="14">
        <v>-59065</v>
      </c>
      <c r="P469" s="55" t="s">
        <v>2866</v>
      </c>
      <c r="Q469" s="14">
        <v>-53244</v>
      </c>
      <c r="R469" s="2"/>
      <c r="S469" s="44">
        <f>[1]!DDIFF(-53244,-59065)</f>
        <v>-5821</v>
      </c>
      <c r="T469" s="2"/>
      <c r="U469" s="1"/>
      <c r="V469" s="62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</row>
    <row r="470" spans="1:67" hidden="1" outlineLevel="1" x14ac:dyDescent="0.25">
      <c r="A470" t="s">
        <v>2731</v>
      </c>
      <c r="E470" s="7"/>
      <c r="F470" s="10"/>
      <c r="G470" s="14"/>
      <c r="H470" s="2"/>
      <c r="I470" s="19"/>
      <c r="J470" s="14"/>
      <c r="K470" s="2"/>
      <c r="L470" s="54" t="s">
        <v>2699</v>
      </c>
      <c r="M470" s="14">
        <v>53213</v>
      </c>
      <c r="N470" s="2"/>
      <c r="O470" s="14"/>
      <c r="P470" s="2"/>
      <c r="Q470" s="14"/>
      <c r="R470" s="2"/>
      <c r="S470" s="14"/>
      <c r="T470" s="2"/>
      <c r="U470" s="1"/>
      <c r="V470" s="62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</row>
    <row r="471" spans="1:67" hidden="1" outlineLevel="1" x14ac:dyDescent="0.25">
      <c r="A471" t="s">
        <v>2734</v>
      </c>
      <c r="E471" s="7"/>
      <c r="F471" s="10"/>
      <c r="G471" s="14"/>
      <c r="H471" s="2"/>
      <c r="I471" s="19"/>
      <c r="J471" s="14"/>
      <c r="K471" s="2"/>
      <c r="L471" s="54" t="s">
        <v>2699</v>
      </c>
      <c r="M471" s="14">
        <v>-59034</v>
      </c>
      <c r="N471" s="2"/>
      <c r="O471" s="14"/>
      <c r="P471" s="2"/>
      <c r="Q471" s="14"/>
      <c r="R471" s="2"/>
      <c r="S471" s="14"/>
      <c r="T471" s="2"/>
      <c r="U471" s="1"/>
      <c r="V471" s="62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</row>
    <row r="472" spans="1:67" collapsed="1" x14ac:dyDescent="0.25">
      <c r="A472" t="s">
        <v>1125</v>
      </c>
      <c r="E472" s="42" t="s">
        <v>1126</v>
      </c>
      <c r="F472" s="43" t="s">
        <v>1119</v>
      </c>
      <c r="G472" s="14">
        <v>-154646</v>
      </c>
      <c r="H472" s="2"/>
      <c r="I472" s="19"/>
      <c r="J472" s="14">
        <v>-2211394</v>
      </c>
      <c r="K472" s="2"/>
      <c r="L472" s="19"/>
      <c r="M472" s="14">
        <v>29225</v>
      </c>
      <c r="N472" s="2"/>
      <c r="O472" s="14">
        <v>-2336815</v>
      </c>
      <c r="P472" s="55" t="s">
        <v>2863</v>
      </c>
      <c r="Q472" s="14">
        <v>-118131</v>
      </c>
      <c r="R472" s="2"/>
      <c r="S472" s="44">
        <f>[1]!DDIFF(-118131,-2336815)</f>
        <v>-2218684</v>
      </c>
      <c r="T472" s="2"/>
      <c r="U472" s="1"/>
      <c r="V472" s="62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</row>
    <row r="473" spans="1:67" hidden="1" outlineLevel="1" x14ac:dyDescent="0.25">
      <c r="A473" t="s">
        <v>2700</v>
      </c>
      <c r="E473" s="7"/>
      <c r="F473" s="10"/>
      <c r="G473" s="14"/>
      <c r="H473" s="2"/>
      <c r="I473" s="54" t="s">
        <v>2701</v>
      </c>
      <c r="J473" s="14">
        <v>112636</v>
      </c>
      <c r="K473" s="2"/>
      <c r="L473" s="54" t="s">
        <v>2699</v>
      </c>
      <c r="M473" s="14">
        <v>41513</v>
      </c>
      <c r="N473" s="2"/>
      <c r="O473" s="14"/>
      <c r="P473" s="2"/>
      <c r="Q473" s="14"/>
      <c r="R473" s="2"/>
      <c r="S473" s="14"/>
      <c r="T473" s="2"/>
      <c r="U473" s="1"/>
      <c r="V473" s="62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</row>
    <row r="474" spans="1:67" hidden="1" outlineLevel="1" x14ac:dyDescent="0.25">
      <c r="A474" t="s">
        <v>2735</v>
      </c>
      <c r="E474" s="7"/>
      <c r="F474" s="10"/>
      <c r="G474" s="14"/>
      <c r="H474" s="2"/>
      <c r="I474" s="54" t="s">
        <v>2736</v>
      </c>
      <c r="J474" s="14">
        <v>-2324527</v>
      </c>
      <c r="K474" s="2"/>
      <c r="L474" s="54" t="s">
        <v>2699</v>
      </c>
      <c r="M474" s="14">
        <v>-12288</v>
      </c>
      <c r="N474" s="2"/>
      <c r="O474" s="14"/>
      <c r="P474" s="2"/>
      <c r="Q474" s="14"/>
      <c r="R474" s="2"/>
      <c r="S474" s="14"/>
      <c r="T474" s="2"/>
      <c r="U474" s="1"/>
      <c r="V474" s="62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</row>
    <row r="475" spans="1:67" hidden="1" outlineLevel="1" x14ac:dyDescent="0.25">
      <c r="A475" t="s">
        <v>2743</v>
      </c>
      <c r="E475" s="7"/>
      <c r="F475" s="10"/>
      <c r="G475" s="14"/>
      <c r="H475" s="2"/>
      <c r="I475" s="54" t="s">
        <v>2736</v>
      </c>
      <c r="J475" s="14">
        <v>497</v>
      </c>
      <c r="K475" s="2"/>
      <c r="L475" s="19"/>
      <c r="M475" s="14"/>
      <c r="N475" s="2"/>
      <c r="O475" s="14"/>
      <c r="P475" s="2"/>
      <c r="Q475" s="14"/>
      <c r="R475" s="2"/>
      <c r="S475" s="14"/>
      <c r="T475" s="2"/>
      <c r="U475" s="1"/>
      <c r="V475" s="62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</row>
    <row r="476" spans="1:67" hidden="1" x14ac:dyDescent="0.25">
      <c r="A476" t="s">
        <v>1127</v>
      </c>
      <c r="E476" s="42" t="s">
        <v>1128</v>
      </c>
      <c r="F476" s="43" t="s">
        <v>1129</v>
      </c>
      <c r="G476" s="14">
        <v>0</v>
      </c>
      <c r="H476" s="2"/>
      <c r="I476" s="19"/>
      <c r="J476" s="14">
        <v>0</v>
      </c>
      <c r="K476" s="2"/>
      <c r="L476" s="19"/>
      <c r="M476" s="14">
        <v>0</v>
      </c>
      <c r="N476" s="2"/>
      <c r="O476" s="14">
        <v>0</v>
      </c>
      <c r="P476" s="2"/>
      <c r="Q476" s="14">
        <v>0</v>
      </c>
      <c r="R476" s="2"/>
      <c r="S476" s="44">
        <f>[1]!DDIFF(0,0)</f>
        <v>0</v>
      </c>
      <c r="T476" s="2"/>
      <c r="U476" s="1"/>
      <c r="V476" s="62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</row>
    <row r="477" spans="1:67" collapsed="1" x14ac:dyDescent="0.25">
      <c r="A477" t="s">
        <v>1130</v>
      </c>
      <c r="E477" s="42" t="s">
        <v>1131</v>
      </c>
      <c r="F477" s="43" t="s">
        <v>1132</v>
      </c>
      <c r="G477" s="14">
        <v>-377786</v>
      </c>
      <c r="H477" s="2"/>
      <c r="I477" s="19"/>
      <c r="J477" s="14">
        <v>-4948</v>
      </c>
      <c r="K477" s="2"/>
      <c r="L477" s="19"/>
      <c r="M477" s="14">
        <v>0</v>
      </c>
      <c r="N477" s="2"/>
      <c r="O477" s="14">
        <v>-382734</v>
      </c>
      <c r="P477" s="55" t="s">
        <v>2863</v>
      </c>
      <c r="Q477" s="14">
        <v>-213549</v>
      </c>
      <c r="R477" s="2"/>
      <c r="S477" s="44">
        <f>[1]!DDIFF(-213549,-382734)</f>
        <v>-169185</v>
      </c>
      <c r="T477" s="2"/>
      <c r="U477" s="1"/>
      <c r="V477" s="62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</row>
    <row r="478" spans="1:67" hidden="1" outlineLevel="1" x14ac:dyDescent="0.25">
      <c r="A478" t="s">
        <v>2859</v>
      </c>
      <c r="E478" s="7"/>
      <c r="F478" s="10"/>
      <c r="G478" s="14"/>
      <c r="H478" s="2"/>
      <c r="I478" s="54" t="s">
        <v>2856</v>
      </c>
      <c r="J478" s="14">
        <v>-4948</v>
      </c>
      <c r="K478" s="2"/>
      <c r="L478" s="19"/>
      <c r="M478" s="14"/>
      <c r="N478" s="2"/>
      <c r="O478" s="14"/>
      <c r="P478" s="2"/>
      <c r="Q478" s="14"/>
      <c r="R478" s="2"/>
      <c r="S478" s="14"/>
      <c r="T478" s="2"/>
      <c r="U478" s="1"/>
      <c r="V478" s="62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</row>
    <row r="479" spans="1:67" hidden="1" x14ac:dyDescent="0.25">
      <c r="A479" t="s">
        <v>1133</v>
      </c>
      <c r="E479" s="42" t="s">
        <v>1134</v>
      </c>
      <c r="F479" s="43" t="s">
        <v>1135</v>
      </c>
      <c r="G479" s="14">
        <v>0</v>
      </c>
      <c r="H479" s="2"/>
      <c r="I479" s="19"/>
      <c r="J479" s="14">
        <v>0</v>
      </c>
      <c r="K479" s="2"/>
      <c r="L479" s="19"/>
      <c r="M479" s="14">
        <v>0</v>
      </c>
      <c r="N479" s="2"/>
      <c r="O479" s="14">
        <v>0</v>
      </c>
      <c r="P479" s="2"/>
      <c r="Q479" s="14">
        <v>0</v>
      </c>
      <c r="R479" s="2"/>
      <c r="S479" s="44">
        <f>[1]!DDIFF(0,0)</f>
        <v>0</v>
      </c>
      <c r="T479" s="2"/>
      <c r="U479" s="1"/>
      <c r="V479" s="62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</row>
    <row r="480" spans="1:67" hidden="1" x14ac:dyDescent="0.25">
      <c r="A480" t="s">
        <v>1136</v>
      </c>
      <c r="E480" s="42" t="s">
        <v>1137</v>
      </c>
      <c r="F480" s="43" t="s">
        <v>1138</v>
      </c>
      <c r="G480" s="14">
        <v>0</v>
      </c>
      <c r="H480" s="2"/>
      <c r="I480" s="19"/>
      <c r="J480" s="14">
        <v>0</v>
      </c>
      <c r="K480" s="2"/>
      <c r="L480" s="19"/>
      <c r="M480" s="14">
        <v>0</v>
      </c>
      <c r="N480" s="2"/>
      <c r="O480" s="14">
        <v>0</v>
      </c>
      <c r="P480" s="2"/>
      <c r="Q480" s="14">
        <v>0</v>
      </c>
      <c r="R480" s="2"/>
      <c r="S480" s="44">
        <f>[1]!DDIFF(0,0)</f>
        <v>0</v>
      </c>
      <c r="T480" s="2"/>
      <c r="U480" s="1"/>
      <c r="V480" s="62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</row>
    <row r="481" spans="1:67" x14ac:dyDescent="0.25">
      <c r="A481" t="s">
        <v>1139</v>
      </c>
      <c r="E481" s="45" t="s">
        <v>1140</v>
      </c>
      <c r="F481" s="46" t="s">
        <v>1116</v>
      </c>
      <c r="G481" s="15">
        <v>-585676</v>
      </c>
      <c r="H481" s="3"/>
      <c r="I481" s="20"/>
      <c r="J481" s="15">
        <v>-2216342</v>
      </c>
      <c r="K481" s="3"/>
      <c r="L481" s="20"/>
      <c r="M481" s="15">
        <v>23404</v>
      </c>
      <c r="N481" s="3"/>
      <c r="O481" s="15">
        <v>-2778614</v>
      </c>
      <c r="P481" s="3"/>
      <c r="Q481" s="15">
        <v>-384924</v>
      </c>
      <c r="R481" s="3"/>
      <c r="S481" s="47">
        <f>[1]!DDIFF(-384924,-2778614)</f>
        <v>-2393690</v>
      </c>
      <c r="T481" s="3"/>
      <c r="U481" s="1"/>
      <c r="V481" s="62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</row>
    <row r="482" spans="1:67" x14ac:dyDescent="0.25">
      <c r="A482" t="s">
        <v>1141</v>
      </c>
      <c r="H482" s="1"/>
      <c r="K482" s="1"/>
      <c r="N482" s="1"/>
      <c r="P482" s="1"/>
      <c r="R482" s="1"/>
      <c r="T482" s="1"/>
      <c r="U482" s="1"/>
      <c r="V482" s="62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</row>
    <row r="483" spans="1:67" x14ac:dyDescent="0.25">
      <c r="A483" t="s">
        <v>1142</v>
      </c>
      <c r="E483" s="40" t="s">
        <v>1143</v>
      </c>
      <c r="F483" s="41" t="s">
        <v>1144</v>
      </c>
      <c r="H483" s="1"/>
      <c r="K483" s="1"/>
      <c r="N483" s="1"/>
      <c r="P483" s="1"/>
      <c r="R483" s="1"/>
      <c r="T483" s="1"/>
      <c r="U483" s="1"/>
      <c r="V483" s="62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</row>
    <row r="484" spans="1:67" hidden="1" x14ac:dyDescent="0.25">
      <c r="A484" t="s">
        <v>1145</v>
      </c>
      <c r="E484" s="42" t="s">
        <v>1146</v>
      </c>
      <c r="F484" s="43" t="s">
        <v>1147</v>
      </c>
      <c r="G484" s="14">
        <v>0</v>
      </c>
      <c r="H484" s="2"/>
      <c r="I484" s="19"/>
      <c r="J484" s="14">
        <v>0</v>
      </c>
      <c r="K484" s="2"/>
      <c r="L484" s="19"/>
      <c r="M484" s="14">
        <v>0</v>
      </c>
      <c r="N484" s="2"/>
      <c r="O484" s="14">
        <v>0</v>
      </c>
      <c r="P484" s="2"/>
      <c r="Q484" s="14">
        <v>0</v>
      </c>
      <c r="R484" s="2"/>
      <c r="S484" s="44">
        <f>[1]!DDIFF(0,0)</f>
        <v>0</v>
      </c>
      <c r="T484" s="2"/>
      <c r="U484" s="1"/>
      <c r="V484" s="62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</row>
    <row r="485" spans="1:67" hidden="1" x14ac:dyDescent="0.25">
      <c r="A485" t="s">
        <v>1148</v>
      </c>
      <c r="E485" s="42" t="s">
        <v>1149</v>
      </c>
      <c r="F485" s="43" t="s">
        <v>1150</v>
      </c>
      <c r="G485" s="14">
        <v>0</v>
      </c>
      <c r="H485" s="2"/>
      <c r="I485" s="19"/>
      <c r="J485" s="14">
        <v>0</v>
      </c>
      <c r="K485" s="2"/>
      <c r="L485" s="19"/>
      <c r="M485" s="14">
        <v>0</v>
      </c>
      <c r="N485" s="2"/>
      <c r="O485" s="14">
        <v>0</v>
      </c>
      <c r="P485" s="2"/>
      <c r="Q485" s="14">
        <v>0</v>
      </c>
      <c r="R485" s="2"/>
      <c r="S485" s="44">
        <f>[1]!DDIFF(0,0)</f>
        <v>0</v>
      </c>
      <c r="T485" s="2"/>
      <c r="U485" s="1"/>
      <c r="V485" s="62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</row>
    <row r="486" spans="1:67" hidden="1" x14ac:dyDescent="0.25">
      <c r="A486" t="s">
        <v>1151</v>
      </c>
      <c r="E486" s="42" t="s">
        <v>1152</v>
      </c>
      <c r="F486" s="43" t="s">
        <v>1153</v>
      </c>
      <c r="G486" s="14">
        <v>0</v>
      </c>
      <c r="H486" s="2"/>
      <c r="I486" s="19"/>
      <c r="J486" s="14">
        <v>0</v>
      </c>
      <c r="K486" s="2"/>
      <c r="L486" s="19"/>
      <c r="M486" s="14">
        <v>0</v>
      </c>
      <c r="N486" s="2"/>
      <c r="O486" s="14">
        <v>0</v>
      </c>
      <c r="P486" s="2"/>
      <c r="Q486" s="14">
        <v>0</v>
      </c>
      <c r="R486" s="2"/>
      <c r="S486" s="44">
        <f>[1]!DDIFF(0,0)</f>
        <v>0</v>
      </c>
      <c r="T486" s="2"/>
      <c r="U486" s="1"/>
      <c r="V486" s="62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</row>
    <row r="487" spans="1:67" hidden="1" x14ac:dyDescent="0.25">
      <c r="A487" t="s">
        <v>1154</v>
      </c>
      <c r="E487" s="42" t="s">
        <v>1155</v>
      </c>
      <c r="F487" s="43" t="s">
        <v>1156</v>
      </c>
      <c r="G487" s="14">
        <v>0</v>
      </c>
      <c r="H487" s="2"/>
      <c r="I487" s="19"/>
      <c r="J487" s="14">
        <v>0</v>
      </c>
      <c r="K487" s="2"/>
      <c r="L487" s="19"/>
      <c r="M487" s="14">
        <v>0</v>
      </c>
      <c r="N487" s="2"/>
      <c r="O487" s="14">
        <v>0</v>
      </c>
      <c r="P487" s="2"/>
      <c r="Q487" s="14">
        <v>0</v>
      </c>
      <c r="R487" s="2"/>
      <c r="S487" s="44">
        <f>[1]!DDIFF(0,0)</f>
        <v>0</v>
      </c>
      <c r="T487" s="2"/>
      <c r="U487" s="1"/>
      <c r="V487" s="62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</row>
    <row r="488" spans="1:67" hidden="1" x14ac:dyDescent="0.25">
      <c r="A488" t="s">
        <v>1157</v>
      </c>
      <c r="E488" s="42" t="s">
        <v>1158</v>
      </c>
      <c r="F488" s="43" t="s">
        <v>1159</v>
      </c>
      <c r="G488" s="14">
        <v>0</v>
      </c>
      <c r="H488" s="2"/>
      <c r="I488" s="19"/>
      <c r="J488" s="14">
        <v>0</v>
      </c>
      <c r="K488" s="2"/>
      <c r="L488" s="19"/>
      <c r="M488" s="14">
        <v>0</v>
      </c>
      <c r="N488" s="2"/>
      <c r="O488" s="14">
        <v>0</v>
      </c>
      <c r="P488" s="2"/>
      <c r="Q488" s="14">
        <v>0</v>
      </c>
      <c r="R488" s="2"/>
      <c r="S488" s="44">
        <f>[1]!DDIFF(0,0)</f>
        <v>0</v>
      </c>
      <c r="T488" s="2"/>
      <c r="U488" s="1"/>
      <c r="V488" s="62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</row>
    <row r="489" spans="1:67" collapsed="1" x14ac:dyDescent="0.25">
      <c r="A489" t="s">
        <v>1160</v>
      </c>
      <c r="E489" s="42" t="s">
        <v>1161</v>
      </c>
      <c r="F489" s="43" t="s">
        <v>1162</v>
      </c>
      <c r="G489" s="14">
        <v>4007</v>
      </c>
      <c r="H489" s="2"/>
      <c r="I489" s="19"/>
      <c r="J489" s="14">
        <v>-10007</v>
      </c>
      <c r="K489" s="2"/>
      <c r="L489" s="19"/>
      <c r="M489" s="14">
        <v>0</v>
      </c>
      <c r="N489" s="2"/>
      <c r="O489" s="14">
        <v>-6000</v>
      </c>
      <c r="P489" s="55">
        <v>241</v>
      </c>
      <c r="Q489" s="14">
        <v>-2500</v>
      </c>
      <c r="R489" s="2"/>
      <c r="S489" s="44">
        <f>[1]!DDIFF(-2500,-6000)</f>
        <v>-3500</v>
      </c>
      <c r="T489" s="2"/>
      <c r="U489" s="1"/>
      <c r="V489" s="62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</row>
    <row r="490" spans="1:67" hidden="1" outlineLevel="1" x14ac:dyDescent="0.25">
      <c r="A490" t="s">
        <v>2833</v>
      </c>
      <c r="E490" s="7"/>
      <c r="F490" s="10"/>
      <c r="G490" s="14"/>
      <c r="H490" s="2"/>
      <c r="I490" s="54" t="s">
        <v>2834</v>
      </c>
      <c r="J490" s="14">
        <v>-10007</v>
      </c>
      <c r="K490" s="2"/>
      <c r="L490" s="19"/>
      <c r="M490" s="14"/>
      <c r="N490" s="2"/>
      <c r="O490" s="14"/>
      <c r="P490" s="2"/>
      <c r="Q490" s="14"/>
      <c r="R490" s="2"/>
      <c r="S490" s="14"/>
      <c r="T490" s="2"/>
      <c r="U490" s="1"/>
      <c r="V490" s="62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</row>
    <row r="491" spans="1:67" hidden="1" x14ac:dyDescent="0.25">
      <c r="A491" t="s">
        <v>1163</v>
      </c>
      <c r="E491" s="42" t="s">
        <v>1164</v>
      </c>
      <c r="F491" s="43" t="s">
        <v>1156</v>
      </c>
      <c r="G491" s="14">
        <v>0</v>
      </c>
      <c r="H491" s="2"/>
      <c r="I491" s="19"/>
      <c r="J491" s="14">
        <v>0</v>
      </c>
      <c r="K491" s="2"/>
      <c r="L491" s="19"/>
      <c r="M491" s="14">
        <v>0</v>
      </c>
      <c r="N491" s="2"/>
      <c r="O491" s="14">
        <v>0</v>
      </c>
      <c r="P491" s="2"/>
      <c r="Q491" s="14">
        <v>0</v>
      </c>
      <c r="R491" s="2"/>
      <c r="S491" s="44">
        <f>[1]!DDIFF(0,0)</f>
        <v>0</v>
      </c>
      <c r="T491" s="2"/>
      <c r="U491" s="1"/>
      <c r="V491" s="62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</row>
    <row r="492" spans="1:67" collapsed="1" x14ac:dyDescent="0.25">
      <c r="A492" t="s">
        <v>1165</v>
      </c>
      <c r="E492" s="42" t="s">
        <v>1166</v>
      </c>
      <c r="F492" s="43" t="s">
        <v>1167</v>
      </c>
      <c r="G492" s="14">
        <v>25000</v>
      </c>
      <c r="H492" s="2"/>
      <c r="I492" s="19"/>
      <c r="J492" s="14">
        <v>-25000</v>
      </c>
      <c r="K492" s="2"/>
      <c r="L492" s="19"/>
      <c r="M492" s="14">
        <v>0</v>
      </c>
      <c r="N492" s="2"/>
      <c r="O492" s="14">
        <v>0</v>
      </c>
      <c r="P492" s="55" t="s">
        <v>2863</v>
      </c>
      <c r="Q492" s="14">
        <v>0</v>
      </c>
      <c r="R492" s="2"/>
      <c r="S492" s="44">
        <f>[1]!DDIFF(0,0)</f>
        <v>0</v>
      </c>
      <c r="T492" s="2"/>
      <c r="U492" s="1"/>
      <c r="V492" s="62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</row>
    <row r="493" spans="1:67" hidden="1" outlineLevel="1" x14ac:dyDescent="0.25">
      <c r="A493" t="s">
        <v>2813</v>
      </c>
      <c r="E493" s="7"/>
      <c r="F493" s="10"/>
      <c r="G493" s="14"/>
      <c r="H493" s="2"/>
      <c r="I493" s="54" t="s">
        <v>2814</v>
      </c>
      <c r="J493" s="14">
        <v>-25000</v>
      </c>
      <c r="K493" s="2"/>
      <c r="L493" s="19"/>
      <c r="M493" s="14"/>
      <c r="N493" s="2"/>
      <c r="O493" s="14"/>
      <c r="P493" s="2"/>
      <c r="Q493" s="14"/>
      <c r="R493" s="2"/>
      <c r="S493" s="14"/>
      <c r="T493" s="2"/>
      <c r="U493" s="1"/>
      <c r="V493" s="62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</row>
    <row r="494" spans="1:67" x14ac:dyDescent="0.25">
      <c r="A494" t="s">
        <v>1168</v>
      </c>
      <c r="E494" s="42" t="s">
        <v>1169</v>
      </c>
      <c r="F494" s="43" t="s">
        <v>1170</v>
      </c>
      <c r="G494" s="14">
        <v>-68989</v>
      </c>
      <c r="H494" s="2"/>
      <c r="I494" s="19"/>
      <c r="J494" s="14">
        <v>0</v>
      </c>
      <c r="K494" s="2"/>
      <c r="L494" s="19"/>
      <c r="M494" s="14">
        <v>0</v>
      </c>
      <c r="N494" s="2"/>
      <c r="O494" s="14">
        <v>-68989</v>
      </c>
      <c r="P494" s="55" t="s">
        <v>2863</v>
      </c>
      <c r="Q494" s="14">
        <v>-68989</v>
      </c>
      <c r="R494" s="2"/>
      <c r="S494" s="44">
        <f>[1]!DDIFF(-68989,-68989)</f>
        <v>0</v>
      </c>
      <c r="T494" s="2"/>
      <c r="U494" s="1"/>
      <c r="V494" s="62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</row>
    <row r="495" spans="1:67" hidden="1" x14ac:dyDescent="0.25">
      <c r="A495" t="s">
        <v>1171</v>
      </c>
      <c r="E495" s="42" t="s">
        <v>1172</v>
      </c>
      <c r="F495" s="43" t="s">
        <v>1173</v>
      </c>
      <c r="G495" s="14">
        <v>0</v>
      </c>
      <c r="H495" s="2"/>
      <c r="I495" s="19"/>
      <c r="J495" s="14">
        <v>0</v>
      </c>
      <c r="K495" s="2"/>
      <c r="L495" s="19"/>
      <c r="M495" s="14">
        <v>0</v>
      </c>
      <c r="N495" s="2"/>
      <c r="O495" s="14">
        <v>0</v>
      </c>
      <c r="P495" s="2"/>
      <c r="Q495" s="14">
        <v>0</v>
      </c>
      <c r="R495" s="2"/>
      <c r="S495" s="44">
        <f>[1]!DDIFF(0,0)</f>
        <v>0</v>
      </c>
      <c r="T495" s="2"/>
      <c r="U495" s="1"/>
      <c r="V495" s="62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</row>
    <row r="496" spans="1:67" hidden="1" x14ac:dyDescent="0.25">
      <c r="A496" t="s">
        <v>1174</v>
      </c>
      <c r="E496" s="42" t="s">
        <v>1175</v>
      </c>
      <c r="F496" s="43" t="s">
        <v>1176</v>
      </c>
      <c r="G496" s="14">
        <v>0</v>
      </c>
      <c r="H496" s="2"/>
      <c r="I496" s="19"/>
      <c r="J496" s="14">
        <v>0</v>
      </c>
      <c r="K496" s="2"/>
      <c r="L496" s="19"/>
      <c r="M496" s="14">
        <v>0</v>
      </c>
      <c r="N496" s="2"/>
      <c r="O496" s="14">
        <v>0</v>
      </c>
      <c r="P496" s="2"/>
      <c r="Q496" s="14">
        <v>0</v>
      </c>
      <c r="R496" s="2"/>
      <c r="S496" s="44">
        <f>[1]!DDIFF(0,0)</f>
        <v>0</v>
      </c>
      <c r="T496" s="2"/>
      <c r="U496" s="1"/>
      <c r="V496" s="62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</row>
    <row r="497" spans="1:67" hidden="1" x14ac:dyDescent="0.25">
      <c r="A497" t="s">
        <v>1177</v>
      </c>
      <c r="E497" s="42" t="s">
        <v>1178</v>
      </c>
      <c r="F497" s="43" t="s">
        <v>1179</v>
      </c>
      <c r="G497" s="14">
        <v>0</v>
      </c>
      <c r="H497" s="2"/>
      <c r="I497" s="19"/>
      <c r="J497" s="14">
        <v>0</v>
      </c>
      <c r="K497" s="2"/>
      <c r="L497" s="19"/>
      <c r="M497" s="14">
        <v>0</v>
      </c>
      <c r="N497" s="2"/>
      <c r="O497" s="14">
        <v>0</v>
      </c>
      <c r="P497" s="2"/>
      <c r="Q497" s="14">
        <v>0</v>
      </c>
      <c r="R497" s="2"/>
      <c r="S497" s="44">
        <f>[1]!DDIFF(0,0)</f>
        <v>0</v>
      </c>
      <c r="T497" s="2"/>
      <c r="U497" s="1"/>
      <c r="V497" s="62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</row>
    <row r="498" spans="1:67" collapsed="1" x14ac:dyDescent="0.25">
      <c r="A498" t="s">
        <v>1180</v>
      </c>
      <c r="E498" s="42" t="s">
        <v>1181</v>
      </c>
      <c r="F498" s="43" t="s">
        <v>1182</v>
      </c>
      <c r="G498" s="14">
        <v>0</v>
      </c>
      <c r="H498" s="2"/>
      <c r="I498" s="19"/>
      <c r="J498" s="14">
        <v>287</v>
      </c>
      <c r="K498" s="2"/>
      <c r="L498" s="19"/>
      <c r="M498" s="14">
        <v>0</v>
      </c>
      <c r="N498" s="2"/>
      <c r="O498" s="14">
        <v>287</v>
      </c>
      <c r="P498" s="55" t="s">
        <v>2863</v>
      </c>
      <c r="Q498" s="14">
        <v>0</v>
      </c>
      <c r="R498" s="2"/>
      <c r="S498" s="44">
        <f>[1]!DDIFF(0,287)</f>
        <v>287</v>
      </c>
      <c r="T498" s="2"/>
      <c r="U498" s="1"/>
      <c r="V498" s="62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</row>
    <row r="499" spans="1:67" hidden="1" outlineLevel="1" x14ac:dyDescent="0.25">
      <c r="A499" t="s">
        <v>2744</v>
      </c>
      <c r="E499" s="7"/>
      <c r="F499" s="10"/>
      <c r="G499" s="14"/>
      <c r="H499" s="2"/>
      <c r="I499" s="54" t="s">
        <v>2736</v>
      </c>
      <c r="J499" s="14">
        <v>287</v>
      </c>
      <c r="K499" s="2"/>
      <c r="L499" s="19"/>
      <c r="M499" s="14"/>
      <c r="N499" s="2"/>
      <c r="O499" s="14"/>
      <c r="P499" s="2"/>
      <c r="Q499" s="14"/>
      <c r="R499" s="2"/>
      <c r="S499" s="14"/>
      <c r="T499" s="2"/>
      <c r="U499" s="1"/>
      <c r="V499" s="62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</row>
    <row r="500" spans="1:67" hidden="1" x14ac:dyDescent="0.25">
      <c r="A500" t="s">
        <v>1183</v>
      </c>
      <c r="E500" s="42" t="s">
        <v>1184</v>
      </c>
      <c r="F500" s="43" t="s">
        <v>1185</v>
      </c>
      <c r="G500" s="14">
        <v>0</v>
      </c>
      <c r="H500" s="2"/>
      <c r="I500" s="19"/>
      <c r="J500" s="14">
        <v>0</v>
      </c>
      <c r="K500" s="2"/>
      <c r="L500" s="19"/>
      <c r="M500" s="14">
        <v>0</v>
      </c>
      <c r="N500" s="2"/>
      <c r="O500" s="14">
        <v>0</v>
      </c>
      <c r="P500" s="2"/>
      <c r="Q500" s="14">
        <v>0</v>
      </c>
      <c r="R500" s="2"/>
      <c r="S500" s="44">
        <f>[1]!DDIFF(0,0)</f>
        <v>0</v>
      </c>
      <c r="T500" s="2"/>
      <c r="U500" s="1"/>
      <c r="V500" s="62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</row>
    <row r="501" spans="1:67" hidden="1" x14ac:dyDescent="0.25">
      <c r="A501" t="s">
        <v>1186</v>
      </c>
      <c r="E501" s="42" t="s">
        <v>1187</v>
      </c>
      <c r="F501" s="43" t="s">
        <v>1188</v>
      </c>
      <c r="G501" s="14">
        <v>0</v>
      </c>
      <c r="H501" s="2"/>
      <c r="I501" s="19"/>
      <c r="J501" s="14">
        <v>0</v>
      </c>
      <c r="K501" s="2"/>
      <c r="L501" s="19"/>
      <c r="M501" s="14">
        <v>0</v>
      </c>
      <c r="N501" s="2"/>
      <c r="O501" s="14">
        <v>0</v>
      </c>
      <c r="P501" s="2"/>
      <c r="Q501" s="14">
        <v>0</v>
      </c>
      <c r="R501" s="2"/>
      <c r="S501" s="44">
        <f>[1]!DDIFF(0,0)</f>
        <v>0</v>
      </c>
      <c r="T501" s="2"/>
      <c r="U501" s="1"/>
      <c r="V501" s="62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</row>
    <row r="502" spans="1:67" hidden="1" x14ac:dyDescent="0.25">
      <c r="A502" t="s">
        <v>1189</v>
      </c>
      <c r="E502" s="42" t="s">
        <v>1190</v>
      </c>
      <c r="F502" s="43" t="s">
        <v>1191</v>
      </c>
      <c r="G502" s="14">
        <v>0</v>
      </c>
      <c r="H502" s="2"/>
      <c r="I502" s="19"/>
      <c r="J502" s="14">
        <v>0</v>
      </c>
      <c r="K502" s="2"/>
      <c r="L502" s="19"/>
      <c r="M502" s="14">
        <v>0</v>
      </c>
      <c r="N502" s="2"/>
      <c r="O502" s="14">
        <v>0</v>
      </c>
      <c r="P502" s="2"/>
      <c r="Q502" s="14">
        <v>0</v>
      </c>
      <c r="R502" s="2"/>
      <c r="S502" s="44">
        <f>[1]!DDIFF(0,0)</f>
        <v>0</v>
      </c>
      <c r="T502" s="2"/>
      <c r="U502" s="1"/>
      <c r="V502" s="62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</row>
    <row r="503" spans="1:67" hidden="1" x14ac:dyDescent="0.25">
      <c r="A503" t="s">
        <v>1192</v>
      </c>
      <c r="E503" s="42" t="s">
        <v>1193</v>
      </c>
      <c r="F503" s="43" t="s">
        <v>1194</v>
      </c>
      <c r="G503" s="14">
        <v>0</v>
      </c>
      <c r="H503" s="2"/>
      <c r="I503" s="19"/>
      <c r="J503" s="14">
        <v>0</v>
      </c>
      <c r="K503" s="2"/>
      <c r="L503" s="19"/>
      <c r="M503" s="14">
        <v>0</v>
      </c>
      <c r="N503" s="2"/>
      <c r="O503" s="14">
        <v>0</v>
      </c>
      <c r="P503" s="2"/>
      <c r="Q503" s="14">
        <v>0</v>
      </c>
      <c r="R503" s="2"/>
      <c r="S503" s="44">
        <f>[1]!DDIFF(0,0)</f>
        <v>0</v>
      </c>
      <c r="T503" s="2"/>
      <c r="U503" s="1"/>
      <c r="V503" s="62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</row>
    <row r="504" spans="1:67" hidden="1" x14ac:dyDescent="0.25">
      <c r="A504" t="s">
        <v>1195</v>
      </c>
      <c r="E504" s="42" t="s">
        <v>1196</v>
      </c>
      <c r="F504" s="43" t="s">
        <v>1197</v>
      </c>
      <c r="G504" s="14">
        <v>0</v>
      </c>
      <c r="H504" s="2"/>
      <c r="I504" s="19"/>
      <c r="J504" s="14">
        <v>0</v>
      </c>
      <c r="K504" s="2"/>
      <c r="L504" s="19"/>
      <c r="M504" s="14">
        <v>0</v>
      </c>
      <c r="N504" s="2"/>
      <c r="O504" s="14">
        <v>0</v>
      </c>
      <c r="P504" s="2"/>
      <c r="Q504" s="14">
        <v>0</v>
      </c>
      <c r="R504" s="2"/>
      <c r="S504" s="44">
        <f>[1]!DDIFF(0,0)</f>
        <v>0</v>
      </c>
      <c r="T504" s="2"/>
      <c r="U504" s="1"/>
      <c r="V504" s="62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</row>
    <row r="505" spans="1:67" hidden="1" x14ac:dyDescent="0.25">
      <c r="A505" t="s">
        <v>1198</v>
      </c>
      <c r="E505" s="42" t="s">
        <v>1199</v>
      </c>
      <c r="F505" s="43" t="s">
        <v>1200</v>
      </c>
      <c r="G505" s="14">
        <v>0</v>
      </c>
      <c r="H505" s="2"/>
      <c r="I505" s="19"/>
      <c r="J505" s="14">
        <v>0</v>
      </c>
      <c r="K505" s="2"/>
      <c r="L505" s="19"/>
      <c r="M505" s="14">
        <v>0</v>
      </c>
      <c r="N505" s="2"/>
      <c r="O505" s="14">
        <v>0</v>
      </c>
      <c r="P505" s="2"/>
      <c r="Q505" s="14">
        <v>0</v>
      </c>
      <c r="R505" s="2"/>
      <c r="S505" s="44">
        <f>[1]!DDIFF(0,0)</f>
        <v>0</v>
      </c>
      <c r="T505" s="2"/>
      <c r="U505" s="1"/>
      <c r="V505" s="62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</row>
    <row r="506" spans="1:67" hidden="1" x14ac:dyDescent="0.25">
      <c r="A506" t="s">
        <v>1201</v>
      </c>
      <c r="E506" s="42" t="s">
        <v>1202</v>
      </c>
      <c r="F506" s="43" t="s">
        <v>1203</v>
      </c>
      <c r="G506" s="14">
        <v>0</v>
      </c>
      <c r="H506" s="2"/>
      <c r="I506" s="19"/>
      <c r="J506" s="14">
        <v>0</v>
      </c>
      <c r="K506" s="2"/>
      <c r="L506" s="19"/>
      <c r="M506" s="14">
        <v>0</v>
      </c>
      <c r="N506" s="2"/>
      <c r="O506" s="14">
        <v>0</v>
      </c>
      <c r="P506" s="2"/>
      <c r="Q506" s="14">
        <v>0</v>
      </c>
      <c r="R506" s="2"/>
      <c r="S506" s="44">
        <f>[1]!DDIFF(0,0)</f>
        <v>0</v>
      </c>
      <c r="T506" s="2"/>
      <c r="U506" s="1"/>
      <c r="V506" s="62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</row>
    <row r="507" spans="1:67" x14ac:dyDescent="0.25">
      <c r="A507" t="s">
        <v>1204</v>
      </c>
      <c r="E507" s="42" t="s">
        <v>1205</v>
      </c>
      <c r="F507" s="43" t="s">
        <v>1206</v>
      </c>
      <c r="G507" s="14">
        <v>-70</v>
      </c>
      <c r="H507" s="2"/>
      <c r="I507" s="19"/>
      <c r="J507" s="14">
        <v>0</v>
      </c>
      <c r="K507" s="2"/>
      <c r="L507" s="19"/>
      <c r="M507" s="14">
        <v>0</v>
      </c>
      <c r="N507" s="2"/>
      <c r="O507" s="14">
        <v>-70</v>
      </c>
      <c r="P507" s="55" t="s">
        <v>2863</v>
      </c>
      <c r="Q507" s="14">
        <v>0</v>
      </c>
      <c r="R507" s="2"/>
      <c r="S507" s="44">
        <f>[1]!DDIFF(0,-70)</f>
        <v>-70</v>
      </c>
      <c r="T507" s="2"/>
      <c r="U507" s="1"/>
      <c r="V507" s="62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</row>
    <row r="508" spans="1:67" hidden="1" x14ac:dyDescent="0.25">
      <c r="A508" t="s">
        <v>1207</v>
      </c>
      <c r="E508" s="42" t="s">
        <v>1208</v>
      </c>
      <c r="F508" s="43" t="s">
        <v>1209</v>
      </c>
      <c r="G508" s="14">
        <v>0</v>
      </c>
      <c r="H508" s="2"/>
      <c r="I508" s="19"/>
      <c r="J508" s="14">
        <v>0</v>
      </c>
      <c r="K508" s="2"/>
      <c r="L508" s="19"/>
      <c r="M508" s="14">
        <v>0</v>
      </c>
      <c r="N508" s="2"/>
      <c r="O508" s="14">
        <v>0</v>
      </c>
      <c r="P508" s="2"/>
      <c r="Q508" s="14">
        <v>0</v>
      </c>
      <c r="R508" s="2"/>
      <c r="S508" s="44">
        <f>[1]!DDIFF(0,0)</f>
        <v>0</v>
      </c>
      <c r="T508" s="2"/>
      <c r="U508" s="1"/>
      <c r="V508" s="62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</row>
    <row r="509" spans="1:67" hidden="1" x14ac:dyDescent="0.25">
      <c r="A509" t="s">
        <v>1210</v>
      </c>
      <c r="E509" s="42" t="s">
        <v>1211</v>
      </c>
      <c r="F509" s="43" t="s">
        <v>1212</v>
      </c>
      <c r="G509" s="14">
        <v>0</v>
      </c>
      <c r="H509" s="2"/>
      <c r="I509" s="19"/>
      <c r="J509" s="14">
        <v>0</v>
      </c>
      <c r="K509" s="2"/>
      <c r="L509" s="19"/>
      <c r="M509" s="14">
        <v>0</v>
      </c>
      <c r="N509" s="2"/>
      <c r="O509" s="14">
        <v>0</v>
      </c>
      <c r="P509" s="2"/>
      <c r="Q509" s="14">
        <v>0</v>
      </c>
      <c r="R509" s="2"/>
      <c r="S509" s="44">
        <f>[1]!DDIFF(0,0)</f>
        <v>0</v>
      </c>
      <c r="T509" s="2"/>
      <c r="U509" s="1"/>
      <c r="V509" s="62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</row>
    <row r="510" spans="1:67" collapsed="1" x14ac:dyDescent="0.25">
      <c r="A510" t="s">
        <v>1213</v>
      </c>
      <c r="E510" s="42" t="s">
        <v>1214</v>
      </c>
      <c r="F510" s="43" t="s">
        <v>1215</v>
      </c>
      <c r="G510" s="14">
        <v>0</v>
      </c>
      <c r="H510" s="2"/>
      <c r="I510" s="19"/>
      <c r="J510" s="14">
        <v>1022</v>
      </c>
      <c r="K510" s="2"/>
      <c r="L510" s="19"/>
      <c r="M510" s="14">
        <v>0</v>
      </c>
      <c r="N510" s="2"/>
      <c r="O510" s="14">
        <v>1022</v>
      </c>
      <c r="P510" s="55" t="s">
        <v>2863</v>
      </c>
      <c r="Q510" s="14">
        <v>0</v>
      </c>
      <c r="R510" s="2"/>
      <c r="S510" s="44">
        <f>[1]!DDIFF(0,1022)</f>
        <v>1022</v>
      </c>
      <c r="T510" s="2"/>
      <c r="U510" s="1"/>
      <c r="V510" s="62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</row>
    <row r="511" spans="1:67" hidden="1" outlineLevel="1" x14ac:dyDescent="0.25">
      <c r="A511" t="s">
        <v>2745</v>
      </c>
      <c r="E511" s="7"/>
      <c r="F511" s="10"/>
      <c r="G511" s="14"/>
      <c r="H511" s="2"/>
      <c r="I511" s="54" t="s">
        <v>2736</v>
      </c>
      <c r="J511" s="14">
        <v>1022</v>
      </c>
      <c r="K511" s="2"/>
      <c r="L511" s="19"/>
      <c r="M511" s="14"/>
      <c r="N511" s="2"/>
      <c r="O511" s="14"/>
      <c r="P511" s="2"/>
      <c r="Q511" s="14"/>
      <c r="R511" s="2"/>
      <c r="S511" s="14"/>
      <c r="T511" s="2"/>
      <c r="U511" s="1"/>
      <c r="V511" s="62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</row>
    <row r="512" spans="1:67" hidden="1" x14ac:dyDescent="0.25">
      <c r="A512" t="s">
        <v>1216</v>
      </c>
      <c r="E512" s="42" t="s">
        <v>1217</v>
      </c>
      <c r="F512" s="43" t="s">
        <v>1218</v>
      </c>
      <c r="G512" s="14">
        <v>0</v>
      </c>
      <c r="H512" s="2"/>
      <c r="I512" s="19"/>
      <c r="J512" s="14">
        <v>0</v>
      </c>
      <c r="K512" s="2"/>
      <c r="L512" s="19"/>
      <c r="M512" s="14">
        <v>0</v>
      </c>
      <c r="N512" s="2"/>
      <c r="O512" s="14">
        <v>0</v>
      </c>
      <c r="P512" s="2"/>
      <c r="Q512" s="14">
        <v>0</v>
      </c>
      <c r="R512" s="2"/>
      <c r="S512" s="44">
        <f>[1]!DDIFF(0,0)</f>
        <v>0</v>
      </c>
      <c r="T512" s="2"/>
      <c r="U512" s="1"/>
      <c r="V512" s="62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</row>
    <row r="513" spans="1:67" hidden="1" collapsed="1" x14ac:dyDescent="0.25">
      <c r="A513" t="s">
        <v>1219</v>
      </c>
      <c r="E513" s="42" t="s">
        <v>1220</v>
      </c>
      <c r="F513" s="43" t="s">
        <v>1221</v>
      </c>
      <c r="G513" s="14">
        <v>0</v>
      </c>
      <c r="H513" s="2"/>
      <c r="I513" s="19"/>
      <c r="J513" s="14">
        <v>0</v>
      </c>
      <c r="K513" s="2"/>
      <c r="L513" s="19"/>
      <c r="M513" s="14">
        <v>0</v>
      </c>
      <c r="N513" s="2"/>
      <c r="O513" s="14">
        <v>0</v>
      </c>
      <c r="P513" s="2"/>
      <c r="Q513" s="14">
        <v>0</v>
      </c>
      <c r="R513" s="2"/>
      <c r="S513" s="44">
        <f>[1]!DDIFF(0,0)</f>
        <v>0</v>
      </c>
      <c r="T513" s="2"/>
      <c r="U513" s="1"/>
      <c r="V513" s="62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</row>
    <row r="514" spans="1:67" hidden="1" x14ac:dyDescent="0.25">
      <c r="A514" t="s">
        <v>1222</v>
      </c>
      <c r="E514" s="42" t="s">
        <v>1223</v>
      </c>
      <c r="F514" s="43" t="s">
        <v>1224</v>
      </c>
      <c r="G514" s="14">
        <v>0</v>
      </c>
      <c r="H514" s="2"/>
      <c r="I514" s="19"/>
      <c r="J514" s="14">
        <v>0</v>
      </c>
      <c r="K514" s="2"/>
      <c r="L514" s="19"/>
      <c r="M514" s="14">
        <v>0</v>
      </c>
      <c r="N514" s="2"/>
      <c r="O514" s="14">
        <v>0</v>
      </c>
      <c r="P514" s="2"/>
      <c r="Q514" s="14">
        <v>0</v>
      </c>
      <c r="R514" s="2"/>
      <c r="S514" s="44">
        <f>[1]!DDIFF(0,0)</f>
        <v>0</v>
      </c>
      <c r="T514" s="2"/>
      <c r="U514" s="1"/>
      <c r="V514" s="62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</row>
    <row r="515" spans="1:67" hidden="1" x14ac:dyDescent="0.25">
      <c r="A515" t="s">
        <v>1225</v>
      </c>
      <c r="E515" s="42" t="s">
        <v>1226</v>
      </c>
      <c r="F515" s="43" t="s">
        <v>1159</v>
      </c>
      <c r="G515" s="14">
        <v>0</v>
      </c>
      <c r="H515" s="2"/>
      <c r="I515" s="19"/>
      <c r="J515" s="14">
        <v>0</v>
      </c>
      <c r="K515" s="2"/>
      <c r="L515" s="19"/>
      <c r="M515" s="14">
        <v>0</v>
      </c>
      <c r="N515" s="2"/>
      <c r="O515" s="14">
        <v>0</v>
      </c>
      <c r="P515" s="2"/>
      <c r="Q515" s="14">
        <v>0</v>
      </c>
      <c r="R515" s="2"/>
      <c r="S515" s="44">
        <f>[1]!DDIFF(0,0)</f>
        <v>0</v>
      </c>
      <c r="T515" s="2"/>
      <c r="U515" s="1"/>
      <c r="V515" s="62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</row>
    <row r="516" spans="1:67" collapsed="1" x14ac:dyDescent="0.25">
      <c r="A516" t="s">
        <v>1227</v>
      </c>
      <c r="E516" s="42" t="s">
        <v>1228</v>
      </c>
      <c r="F516" s="43" t="s">
        <v>1229</v>
      </c>
      <c r="G516" s="14">
        <v>-176657</v>
      </c>
      <c r="H516" s="2"/>
      <c r="I516" s="19"/>
      <c r="J516" s="14">
        <v>2373</v>
      </c>
      <c r="K516" s="2"/>
      <c r="L516" s="19"/>
      <c r="M516" s="14">
        <v>0</v>
      </c>
      <c r="N516" s="2"/>
      <c r="O516" s="14">
        <v>-174284</v>
      </c>
      <c r="P516" s="55" t="s">
        <v>2863</v>
      </c>
      <c r="Q516" s="14">
        <v>-77892</v>
      </c>
      <c r="R516" s="2"/>
      <c r="S516" s="44">
        <f>[1]!DDIFF(-77892,-174284)</f>
        <v>-96392</v>
      </c>
      <c r="T516" s="2"/>
      <c r="U516" s="1"/>
      <c r="V516" s="62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</row>
    <row r="517" spans="1:67" hidden="1" outlineLevel="1" x14ac:dyDescent="0.25">
      <c r="A517" t="s">
        <v>2746</v>
      </c>
      <c r="E517" s="7"/>
      <c r="F517" s="10"/>
      <c r="G517" s="14"/>
      <c r="H517" s="2"/>
      <c r="I517" s="54" t="s">
        <v>2736</v>
      </c>
      <c r="J517" s="14">
        <v>2373</v>
      </c>
      <c r="K517" s="2"/>
      <c r="L517" s="19"/>
      <c r="M517" s="14"/>
      <c r="N517" s="2"/>
      <c r="O517" s="14"/>
      <c r="P517" s="2"/>
      <c r="Q517" s="14"/>
      <c r="R517" s="2"/>
      <c r="S517" s="14"/>
      <c r="T517" s="2"/>
      <c r="U517" s="1"/>
      <c r="V517" s="62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</row>
    <row r="518" spans="1:67" hidden="1" x14ac:dyDescent="0.25">
      <c r="A518" t="s">
        <v>1230</v>
      </c>
      <c r="E518" s="42" t="s">
        <v>1231</v>
      </c>
      <c r="F518" s="43" t="s">
        <v>1232</v>
      </c>
      <c r="G518" s="14">
        <v>0</v>
      </c>
      <c r="H518" s="2"/>
      <c r="I518" s="19"/>
      <c r="J518" s="14">
        <v>0</v>
      </c>
      <c r="K518" s="2"/>
      <c r="L518" s="19"/>
      <c r="M518" s="14">
        <v>0</v>
      </c>
      <c r="N518" s="2"/>
      <c r="O518" s="14">
        <v>0</v>
      </c>
      <c r="P518" s="2"/>
      <c r="Q518" s="14">
        <v>0</v>
      </c>
      <c r="R518" s="2"/>
      <c r="S518" s="44">
        <f>[1]!DDIFF(0,0)</f>
        <v>0</v>
      </c>
      <c r="T518" s="2"/>
      <c r="U518" s="1"/>
      <c r="V518" s="62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</row>
    <row r="519" spans="1:67" hidden="1" x14ac:dyDescent="0.25">
      <c r="A519" t="s">
        <v>1233</v>
      </c>
      <c r="E519" s="42" t="s">
        <v>1234</v>
      </c>
      <c r="F519" s="43" t="s">
        <v>1235</v>
      </c>
      <c r="G519" s="14">
        <v>0</v>
      </c>
      <c r="H519" s="2"/>
      <c r="I519" s="19"/>
      <c r="J519" s="14">
        <v>0</v>
      </c>
      <c r="K519" s="2"/>
      <c r="L519" s="19"/>
      <c r="M519" s="14">
        <v>0</v>
      </c>
      <c r="N519" s="2"/>
      <c r="O519" s="14">
        <v>0</v>
      </c>
      <c r="P519" s="2"/>
      <c r="Q519" s="14">
        <v>0</v>
      </c>
      <c r="R519" s="2"/>
      <c r="S519" s="44">
        <f>[1]!DDIFF(0,0)</f>
        <v>0</v>
      </c>
      <c r="T519" s="2"/>
      <c r="U519" s="1"/>
      <c r="V519" s="62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</row>
    <row r="520" spans="1:67" hidden="1" x14ac:dyDescent="0.25">
      <c r="A520" t="s">
        <v>1236</v>
      </c>
      <c r="E520" s="42" t="s">
        <v>1237</v>
      </c>
      <c r="F520" s="43" t="s">
        <v>1238</v>
      </c>
      <c r="G520" s="14">
        <v>0</v>
      </c>
      <c r="H520" s="2"/>
      <c r="I520" s="19"/>
      <c r="J520" s="14">
        <v>0</v>
      </c>
      <c r="K520" s="2"/>
      <c r="L520" s="19"/>
      <c r="M520" s="14">
        <v>0</v>
      </c>
      <c r="N520" s="2"/>
      <c r="O520" s="14">
        <v>0</v>
      </c>
      <c r="P520" s="2"/>
      <c r="Q520" s="14">
        <v>0</v>
      </c>
      <c r="R520" s="2"/>
      <c r="S520" s="44">
        <f>[1]!DDIFF(0,0)</f>
        <v>0</v>
      </c>
      <c r="T520" s="2"/>
      <c r="U520" s="1"/>
      <c r="V520" s="62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</row>
    <row r="521" spans="1:67" hidden="1" x14ac:dyDescent="0.25">
      <c r="A521" t="s">
        <v>1239</v>
      </c>
      <c r="E521" s="42" t="s">
        <v>1240</v>
      </c>
      <c r="F521" s="43" t="s">
        <v>1241</v>
      </c>
      <c r="G521" s="14">
        <v>0</v>
      </c>
      <c r="H521" s="2"/>
      <c r="I521" s="19"/>
      <c r="J521" s="14">
        <v>0</v>
      </c>
      <c r="K521" s="2"/>
      <c r="L521" s="19"/>
      <c r="M521" s="14">
        <v>0</v>
      </c>
      <c r="N521" s="2"/>
      <c r="O521" s="14">
        <v>0</v>
      </c>
      <c r="P521" s="2"/>
      <c r="Q521" s="14">
        <v>0</v>
      </c>
      <c r="R521" s="2"/>
      <c r="S521" s="44">
        <f>[1]!DDIFF(0,0)</f>
        <v>0</v>
      </c>
      <c r="T521" s="2"/>
      <c r="U521" s="1"/>
      <c r="V521" s="62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</row>
    <row r="522" spans="1:67" hidden="1" x14ac:dyDescent="0.25">
      <c r="A522" t="s">
        <v>1242</v>
      </c>
      <c r="E522" s="42" t="s">
        <v>1243</v>
      </c>
      <c r="F522" s="43" t="s">
        <v>1244</v>
      </c>
      <c r="G522" s="14">
        <v>0</v>
      </c>
      <c r="H522" s="2"/>
      <c r="I522" s="19"/>
      <c r="J522" s="14">
        <v>0</v>
      </c>
      <c r="K522" s="2"/>
      <c r="L522" s="19"/>
      <c r="M522" s="14">
        <v>0</v>
      </c>
      <c r="N522" s="2"/>
      <c r="O522" s="14">
        <v>0</v>
      </c>
      <c r="P522" s="2"/>
      <c r="Q522" s="14">
        <v>0</v>
      </c>
      <c r="R522" s="2"/>
      <c r="S522" s="44">
        <f>[1]!DDIFF(0,0)</f>
        <v>0</v>
      </c>
      <c r="T522" s="2"/>
      <c r="U522" s="1"/>
      <c r="V522" s="62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</row>
    <row r="523" spans="1:67" hidden="1" x14ac:dyDescent="0.25">
      <c r="A523" t="s">
        <v>1245</v>
      </c>
      <c r="E523" s="42" t="s">
        <v>1246</v>
      </c>
      <c r="F523" s="43" t="s">
        <v>1247</v>
      </c>
      <c r="G523" s="14">
        <v>0</v>
      </c>
      <c r="H523" s="2"/>
      <c r="I523" s="19"/>
      <c r="J523" s="14">
        <v>0</v>
      </c>
      <c r="K523" s="2"/>
      <c r="L523" s="19"/>
      <c r="M523" s="14">
        <v>0</v>
      </c>
      <c r="N523" s="2"/>
      <c r="O523" s="14">
        <v>0</v>
      </c>
      <c r="P523" s="2"/>
      <c r="Q523" s="14">
        <v>0</v>
      </c>
      <c r="R523" s="2"/>
      <c r="S523" s="44">
        <f>[1]!DDIFF(0,0)</f>
        <v>0</v>
      </c>
      <c r="T523" s="2"/>
      <c r="U523" s="1"/>
      <c r="V523" s="62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</row>
    <row r="524" spans="1:67" hidden="1" x14ac:dyDescent="0.25">
      <c r="A524" t="s">
        <v>1248</v>
      </c>
      <c r="E524" s="42" t="s">
        <v>1249</v>
      </c>
      <c r="F524" s="43" t="s">
        <v>1156</v>
      </c>
      <c r="G524" s="14">
        <v>0</v>
      </c>
      <c r="H524" s="2"/>
      <c r="I524" s="19"/>
      <c r="J524" s="14">
        <v>0</v>
      </c>
      <c r="K524" s="2"/>
      <c r="L524" s="19"/>
      <c r="M524" s="14">
        <v>0</v>
      </c>
      <c r="N524" s="2"/>
      <c r="O524" s="14">
        <v>0</v>
      </c>
      <c r="P524" s="2"/>
      <c r="Q524" s="14">
        <v>0</v>
      </c>
      <c r="R524" s="2"/>
      <c r="S524" s="44">
        <f>[1]!DDIFF(0,0)</f>
        <v>0</v>
      </c>
      <c r="T524" s="2"/>
      <c r="U524" s="1"/>
      <c r="V524" s="62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</row>
    <row r="525" spans="1:67" x14ac:dyDescent="0.25">
      <c r="A525" t="s">
        <v>1250</v>
      </c>
      <c r="E525" s="45" t="s">
        <v>1251</v>
      </c>
      <c r="F525" s="46" t="s">
        <v>1144</v>
      </c>
      <c r="G525" s="15">
        <v>-216709</v>
      </c>
      <c r="H525" s="3"/>
      <c r="I525" s="20"/>
      <c r="J525" s="15">
        <v>-31325</v>
      </c>
      <c r="K525" s="3"/>
      <c r="L525" s="20"/>
      <c r="M525" s="15">
        <v>0</v>
      </c>
      <c r="N525" s="3"/>
      <c r="O525" s="15">
        <v>-248034</v>
      </c>
      <c r="P525" s="3"/>
      <c r="Q525" s="15">
        <v>-149381</v>
      </c>
      <c r="R525" s="3"/>
      <c r="S525" s="47">
        <f>[1]!DDIFF(-149381,-248034)</f>
        <v>-98653</v>
      </c>
      <c r="T525" s="3"/>
      <c r="U525" s="1"/>
      <c r="V525" s="62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</row>
    <row r="526" spans="1:67" x14ac:dyDescent="0.25">
      <c r="A526" t="s">
        <v>1252</v>
      </c>
      <c r="H526" s="1"/>
      <c r="K526" s="1"/>
      <c r="N526" s="1"/>
      <c r="P526" s="1"/>
      <c r="R526" s="1"/>
      <c r="T526" s="1"/>
      <c r="U526" s="1"/>
      <c r="V526" s="62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</row>
    <row r="527" spans="1:67" x14ac:dyDescent="0.25">
      <c r="A527" t="s">
        <v>1253</v>
      </c>
      <c r="E527" s="40" t="s">
        <v>1254</v>
      </c>
      <c r="F527" s="41" t="s">
        <v>1255</v>
      </c>
      <c r="H527" s="1"/>
      <c r="K527" s="1"/>
      <c r="N527" s="1"/>
      <c r="P527" s="1"/>
      <c r="R527" s="1"/>
      <c r="T527" s="1"/>
      <c r="U527" s="1"/>
      <c r="V527" s="62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</row>
    <row r="528" spans="1:67" collapsed="1" x14ac:dyDescent="0.25">
      <c r="A528" t="s">
        <v>1256</v>
      </c>
      <c r="E528" s="42" t="s">
        <v>1257</v>
      </c>
      <c r="F528" s="43" t="s">
        <v>2677</v>
      </c>
      <c r="G528" s="14">
        <v>-5469</v>
      </c>
      <c r="H528" s="2"/>
      <c r="I528" s="19"/>
      <c r="J528" s="14">
        <v>1215</v>
      </c>
      <c r="K528" s="2"/>
      <c r="L528" s="19"/>
      <c r="M528" s="14">
        <v>0</v>
      </c>
      <c r="N528" s="2"/>
      <c r="O528" s="14">
        <v>-4254</v>
      </c>
      <c r="P528" s="55" t="s">
        <v>2863</v>
      </c>
      <c r="Q528" s="14">
        <v>-5469</v>
      </c>
      <c r="R528" s="2"/>
      <c r="S528" s="44">
        <f>[1]!DDIFF(-5469,-4254)</f>
        <v>1215</v>
      </c>
      <c r="T528" s="2"/>
      <c r="U528" s="1"/>
      <c r="V528" s="62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</row>
    <row r="529" spans="1:67" hidden="1" outlineLevel="1" x14ac:dyDescent="0.25">
      <c r="A529" t="s">
        <v>2803</v>
      </c>
      <c r="E529" s="7"/>
      <c r="F529" s="10"/>
      <c r="G529" s="14"/>
      <c r="H529" s="2"/>
      <c r="I529" s="54" t="s">
        <v>2799</v>
      </c>
      <c r="J529" s="14">
        <v>1215</v>
      </c>
      <c r="K529" s="2"/>
      <c r="L529" s="19"/>
      <c r="M529" s="14"/>
      <c r="N529" s="2"/>
      <c r="O529" s="14"/>
      <c r="P529" s="2"/>
      <c r="Q529" s="14"/>
      <c r="R529" s="2"/>
      <c r="S529" s="14"/>
      <c r="T529" s="2"/>
      <c r="U529" s="1"/>
      <c r="V529" s="62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</row>
    <row r="530" spans="1:67" collapsed="1" x14ac:dyDescent="0.25">
      <c r="A530" t="s">
        <v>2671</v>
      </c>
      <c r="E530" s="42" t="s">
        <v>2672</v>
      </c>
      <c r="F530" s="43" t="s">
        <v>2694</v>
      </c>
      <c r="G530" s="14">
        <v>-17245</v>
      </c>
      <c r="H530" s="2"/>
      <c r="I530" s="19"/>
      <c r="J530" s="14">
        <v>1246</v>
      </c>
      <c r="K530" s="2"/>
      <c r="L530" s="19"/>
      <c r="M530" s="14">
        <v>0</v>
      </c>
      <c r="N530" s="2"/>
      <c r="O530" s="14">
        <v>-15999</v>
      </c>
      <c r="P530" s="55" t="s">
        <v>2863</v>
      </c>
      <c r="Q530" s="14">
        <v>-17245</v>
      </c>
      <c r="R530" s="2"/>
      <c r="S530" s="44">
        <f>[1]!DDIFF(-17245,-15999)</f>
        <v>1246</v>
      </c>
      <c r="T530" s="2"/>
      <c r="U530" s="1"/>
      <c r="V530" s="62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</row>
    <row r="531" spans="1:67" hidden="1" outlineLevel="1" x14ac:dyDescent="0.25">
      <c r="A531" t="s">
        <v>2804</v>
      </c>
      <c r="E531" s="7"/>
      <c r="F531" s="10"/>
      <c r="G531" s="14"/>
      <c r="H531" s="2"/>
      <c r="I531" s="54" t="s">
        <v>2799</v>
      </c>
      <c r="J531" s="14">
        <v>1246</v>
      </c>
      <c r="K531" s="2"/>
      <c r="L531" s="19"/>
      <c r="M531" s="14"/>
      <c r="N531" s="2"/>
      <c r="O531" s="14"/>
      <c r="P531" s="2"/>
      <c r="Q531" s="14"/>
      <c r="R531" s="2"/>
      <c r="S531" s="14"/>
      <c r="T531" s="2"/>
      <c r="U531" s="1"/>
      <c r="V531" s="62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</row>
    <row r="532" spans="1:67" hidden="1" collapsed="1" x14ac:dyDescent="0.25">
      <c r="A532" t="s">
        <v>2673</v>
      </c>
      <c r="E532" s="42" t="s">
        <v>2674</v>
      </c>
      <c r="F532" s="43" t="s">
        <v>2675</v>
      </c>
      <c r="G532" s="14">
        <v>0</v>
      </c>
      <c r="H532" s="2"/>
      <c r="I532" s="19"/>
      <c r="J532" s="14">
        <v>0</v>
      </c>
      <c r="K532" s="2"/>
      <c r="L532" s="19"/>
      <c r="M532" s="14">
        <v>0</v>
      </c>
      <c r="N532" s="2"/>
      <c r="O532" s="14">
        <v>0</v>
      </c>
      <c r="P532" s="2"/>
      <c r="Q532" s="14">
        <v>0</v>
      </c>
      <c r="R532" s="2"/>
      <c r="S532" s="44">
        <f>[1]!DDIFF(0,0)</f>
        <v>0</v>
      </c>
      <c r="T532" s="2"/>
      <c r="U532" s="1"/>
      <c r="V532" s="62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</row>
    <row r="533" spans="1:67" x14ac:dyDescent="0.25">
      <c r="A533" t="s">
        <v>1258</v>
      </c>
      <c r="E533" s="45" t="s">
        <v>1259</v>
      </c>
      <c r="F533" s="46" t="s">
        <v>1255</v>
      </c>
      <c r="G533" s="15">
        <v>-22714</v>
      </c>
      <c r="H533" s="3"/>
      <c r="I533" s="20"/>
      <c r="J533" s="15">
        <v>2461</v>
      </c>
      <c r="K533" s="3"/>
      <c r="L533" s="20"/>
      <c r="M533" s="15">
        <v>0</v>
      </c>
      <c r="N533" s="3"/>
      <c r="O533" s="15">
        <v>-20253</v>
      </c>
      <c r="P533" s="3"/>
      <c r="Q533" s="15">
        <v>-22714</v>
      </c>
      <c r="R533" s="3"/>
      <c r="S533" s="47">
        <f>[1]!DDIFF(-22714,-20253)</f>
        <v>2461</v>
      </c>
      <c r="T533" s="3"/>
      <c r="U533" s="1"/>
      <c r="V533" s="62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</row>
    <row r="534" spans="1:67" x14ac:dyDescent="0.25">
      <c r="A534" t="s">
        <v>1260</v>
      </c>
      <c r="H534" s="1"/>
      <c r="K534" s="1"/>
      <c r="N534" s="1"/>
      <c r="P534" s="1"/>
      <c r="R534" s="1"/>
      <c r="T534" s="1"/>
      <c r="U534" s="1"/>
      <c r="V534" s="62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</row>
    <row r="535" spans="1:67" hidden="1" x14ac:dyDescent="0.25">
      <c r="A535" t="s">
        <v>1261</v>
      </c>
      <c r="E535" s="40" t="s">
        <v>190</v>
      </c>
      <c r="F535" s="11"/>
      <c r="H535" s="1"/>
      <c r="K535" s="1"/>
      <c r="N535" s="1"/>
      <c r="P535" s="1"/>
      <c r="R535" s="1"/>
      <c r="T535" s="1"/>
      <c r="U535" s="1"/>
      <c r="V535" s="62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</row>
    <row r="536" spans="1:67" hidden="1" x14ac:dyDescent="0.25">
      <c r="A536" t="s">
        <v>1262</v>
      </c>
      <c r="E536" s="45" t="s">
        <v>192</v>
      </c>
      <c r="F536" s="12"/>
      <c r="G536" s="15">
        <v>0</v>
      </c>
      <c r="H536" s="3"/>
      <c r="I536" s="20"/>
      <c r="J536" s="15">
        <v>0</v>
      </c>
      <c r="K536" s="3"/>
      <c r="L536" s="20"/>
      <c r="M536" s="15">
        <v>0</v>
      </c>
      <c r="N536" s="3"/>
      <c r="O536" s="15">
        <v>0</v>
      </c>
      <c r="P536" s="3"/>
      <c r="Q536" s="15">
        <v>0</v>
      </c>
      <c r="R536" s="3"/>
      <c r="S536" s="47">
        <f>[1]!DDIFF(0,0)</f>
        <v>0</v>
      </c>
      <c r="T536" s="3"/>
      <c r="U536" s="1"/>
      <c r="V536" s="62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</row>
    <row r="537" spans="1:67" ht="15.75" thickBot="1" x14ac:dyDescent="0.3">
      <c r="A537" t="s">
        <v>1263</v>
      </c>
      <c r="E537" s="48" t="s">
        <v>1264</v>
      </c>
      <c r="F537" s="49" t="s">
        <v>1104</v>
      </c>
      <c r="G537" s="16">
        <v>-870965</v>
      </c>
      <c r="H537" s="4"/>
      <c r="I537" s="21"/>
      <c r="J537" s="16">
        <v>-2245206</v>
      </c>
      <c r="K537" s="4"/>
      <c r="L537" s="21"/>
      <c r="M537" s="16">
        <v>23404</v>
      </c>
      <c r="N537" s="4"/>
      <c r="O537" s="16">
        <v>-3092767</v>
      </c>
      <c r="P537" s="4"/>
      <c r="Q537" s="16">
        <v>-603110</v>
      </c>
      <c r="R537" s="4"/>
      <c r="S537" s="50">
        <f>[1]!DDIFF(-603110,-3092767)</f>
        <v>-2489657</v>
      </c>
      <c r="T537" s="4"/>
      <c r="U537" s="1"/>
      <c r="V537" s="62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</row>
    <row r="538" spans="1:67" ht="15.75" thickTop="1" x14ac:dyDescent="0.25">
      <c r="A538" t="s">
        <v>1265</v>
      </c>
      <c r="H538" s="1"/>
      <c r="K538" s="1"/>
      <c r="N538" s="1"/>
      <c r="P538" s="1"/>
      <c r="R538" s="1"/>
      <c r="T538" s="1"/>
      <c r="U538" s="1"/>
      <c r="V538" s="62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</row>
    <row r="539" spans="1:67" x14ac:dyDescent="0.25">
      <c r="A539" t="s">
        <v>918</v>
      </c>
      <c r="E539" s="38" t="s">
        <v>919</v>
      </c>
      <c r="F539" s="39" t="s">
        <v>920</v>
      </c>
      <c r="H539" s="1"/>
      <c r="K539" s="1"/>
      <c r="N539" s="1"/>
      <c r="P539" s="1"/>
      <c r="R539" s="1"/>
      <c r="T539" s="1"/>
      <c r="U539" s="1"/>
      <c r="V539" s="62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</row>
    <row r="540" spans="1:67" x14ac:dyDescent="0.25">
      <c r="A540" t="s">
        <v>921</v>
      </c>
      <c r="E540" s="40" t="s">
        <v>861</v>
      </c>
      <c r="F540" s="41" t="s">
        <v>922</v>
      </c>
      <c r="H540" s="1"/>
      <c r="K540" s="1"/>
      <c r="N540" s="1"/>
      <c r="P540" s="1"/>
      <c r="R540" s="1"/>
      <c r="T540" s="1"/>
      <c r="U540" s="1"/>
      <c r="V540" s="62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</row>
    <row r="541" spans="1:67" x14ac:dyDescent="0.25">
      <c r="A541" t="s">
        <v>923</v>
      </c>
      <c r="E541" s="42" t="s">
        <v>924</v>
      </c>
      <c r="F541" s="43" t="s">
        <v>925</v>
      </c>
      <c r="G541" s="14">
        <v>-106380</v>
      </c>
      <c r="H541" s="2"/>
      <c r="I541" s="19"/>
      <c r="J541" s="14">
        <v>0</v>
      </c>
      <c r="K541" s="2"/>
      <c r="L541" s="19"/>
      <c r="M541" s="14">
        <v>0</v>
      </c>
      <c r="N541" s="2"/>
      <c r="O541" s="14">
        <v>-106380</v>
      </c>
      <c r="P541" s="55" t="s">
        <v>2863</v>
      </c>
      <c r="Q541" s="14">
        <v>-106380</v>
      </c>
      <c r="R541" s="2"/>
      <c r="S541" s="44">
        <f>[1]!DDIFF(-106380,-106380)</f>
        <v>0</v>
      </c>
      <c r="T541" s="2"/>
      <c r="U541" s="1"/>
      <c r="V541" s="62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</row>
    <row r="542" spans="1:67" hidden="1" x14ac:dyDescent="0.25">
      <c r="A542" t="s">
        <v>926</v>
      </c>
      <c r="E542" s="42" t="s">
        <v>927</v>
      </c>
      <c r="F542" s="43" t="s">
        <v>925</v>
      </c>
      <c r="G542" s="14">
        <v>0</v>
      </c>
      <c r="H542" s="2"/>
      <c r="I542" s="19"/>
      <c r="J542" s="14">
        <v>0</v>
      </c>
      <c r="K542" s="2"/>
      <c r="L542" s="19"/>
      <c r="M542" s="14">
        <v>0</v>
      </c>
      <c r="N542" s="2"/>
      <c r="O542" s="14">
        <v>0</v>
      </c>
      <c r="P542" s="2"/>
      <c r="Q542" s="14">
        <v>0</v>
      </c>
      <c r="R542" s="2"/>
      <c r="S542" s="44">
        <f>[1]!DDIFF(0,0)</f>
        <v>0</v>
      </c>
      <c r="T542" s="2"/>
      <c r="U542" s="1"/>
      <c r="V542" s="62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</row>
    <row r="543" spans="1:67" hidden="1" x14ac:dyDescent="0.25">
      <c r="A543" t="s">
        <v>928</v>
      </c>
      <c r="E543" s="42" t="s">
        <v>929</v>
      </c>
      <c r="F543" s="43" t="s">
        <v>930</v>
      </c>
      <c r="G543" s="14">
        <v>0</v>
      </c>
      <c r="H543" s="2"/>
      <c r="I543" s="19"/>
      <c r="J543" s="14">
        <v>0</v>
      </c>
      <c r="K543" s="2"/>
      <c r="L543" s="19"/>
      <c r="M543" s="14">
        <v>0</v>
      </c>
      <c r="N543" s="2"/>
      <c r="O543" s="14">
        <v>0</v>
      </c>
      <c r="P543" s="2"/>
      <c r="Q543" s="14">
        <v>0</v>
      </c>
      <c r="R543" s="2"/>
      <c r="S543" s="44">
        <f>[1]!DDIFF(0,0)</f>
        <v>0</v>
      </c>
      <c r="T543" s="2"/>
      <c r="U543" s="1"/>
      <c r="V543" s="62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</row>
    <row r="544" spans="1:67" hidden="1" x14ac:dyDescent="0.25">
      <c r="A544" t="s">
        <v>931</v>
      </c>
      <c r="E544" s="42" t="s">
        <v>932</v>
      </c>
      <c r="F544" s="43" t="s">
        <v>925</v>
      </c>
      <c r="G544" s="14">
        <v>0</v>
      </c>
      <c r="H544" s="2"/>
      <c r="I544" s="19"/>
      <c r="J544" s="14">
        <v>0</v>
      </c>
      <c r="K544" s="2"/>
      <c r="L544" s="19"/>
      <c r="M544" s="14">
        <v>0</v>
      </c>
      <c r="N544" s="2"/>
      <c r="O544" s="14">
        <v>0</v>
      </c>
      <c r="P544" s="2"/>
      <c r="Q544" s="14">
        <v>0</v>
      </c>
      <c r="R544" s="2"/>
      <c r="S544" s="44">
        <f>[1]!DDIFF(0,0)</f>
        <v>0</v>
      </c>
      <c r="T544" s="2"/>
      <c r="U544" s="1"/>
      <c r="V544" s="62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</row>
    <row r="545" spans="1:67" x14ac:dyDescent="0.25">
      <c r="A545" t="s">
        <v>933</v>
      </c>
      <c r="E545" s="45" t="s">
        <v>911</v>
      </c>
      <c r="F545" s="46" t="s">
        <v>922</v>
      </c>
      <c r="G545" s="15">
        <v>-106380</v>
      </c>
      <c r="H545" s="3"/>
      <c r="I545" s="20"/>
      <c r="J545" s="15">
        <v>0</v>
      </c>
      <c r="K545" s="3"/>
      <c r="L545" s="20"/>
      <c r="M545" s="15">
        <v>0</v>
      </c>
      <c r="N545" s="3"/>
      <c r="O545" s="15">
        <v>-106380</v>
      </c>
      <c r="P545" s="3"/>
      <c r="Q545" s="15">
        <v>-106380</v>
      </c>
      <c r="R545" s="3"/>
      <c r="S545" s="47">
        <f>[1]!DDIFF(-106380,-106380)</f>
        <v>0</v>
      </c>
      <c r="T545" s="3"/>
      <c r="U545" s="1"/>
      <c r="V545" s="62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</row>
    <row r="546" spans="1:67" x14ac:dyDescent="0.25">
      <c r="A546" t="s">
        <v>934</v>
      </c>
      <c r="H546" s="1"/>
      <c r="K546" s="1"/>
      <c r="N546" s="1"/>
      <c r="P546" s="1"/>
      <c r="R546" s="1"/>
      <c r="T546" s="1"/>
      <c r="U546" s="1"/>
      <c r="V546" s="62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</row>
    <row r="547" spans="1:67" x14ac:dyDescent="0.25">
      <c r="A547" t="s">
        <v>935</v>
      </c>
      <c r="E547" s="40" t="s">
        <v>936</v>
      </c>
      <c r="F547" s="41" t="s">
        <v>937</v>
      </c>
      <c r="H547" s="1"/>
      <c r="K547" s="1"/>
      <c r="N547" s="1"/>
      <c r="P547" s="1"/>
      <c r="R547" s="1"/>
      <c r="T547" s="1"/>
      <c r="U547" s="1"/>
      <c r="V547" s="62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</row>
    <row r="548" spans="1:67" hidden="1" x14ac:dyDescent="0.25">
      <c r="A548" t="s">
        <v>938</v>
      </c>
      <c r="E548" s="42" t="s">
        <v>939</v>
      </c>
      <c r="F548" s="43" t="s">
        <v>940</v>
      </c>
      <c r="G548" s="14">
        <v>0</v>
      </c>
      <c r="H548" s="2"/>
      <c r="I548" s="19"/>
      <c r="J548" s="14">
        <v>0</v>
      </c>
      <c r="K548" s="2"/>
      <c r="L548" s="19"/>
      <c r="M548" s="14">
        <v>0</v>
      </c>
      <c r="N548" s="2"/>
      <c r="O548" s="14">
        <v>0</v>
      </c>
      <c r="P548" s="2"/>
      <c r="Q548" s="14">
        <v>0</v>
      </c>
      <c r="R548" s="2"/>
      <c r="S548" s="44">
        <f>[1]!DDIFF(0,0)</f>
        <v>0</v>
      </c>
      <c r="T548" s="2"/>
      <c r="U548" s="1"/>
      <c r="V548" s="62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</row>
    <row r="549" spans="1:67" collapsed="1" x14ac:dyDescent="0.25">
      <c r="A549" t="s">
        <v>941</v>
      </c>
      <c r="E549" s="42" t="s">
        <v>942</v>
      </c>
      <c r="F549" s="43" t="s">
        <v>940</v>
      </c>
      <c r="G549" s="14">
        <v>-428100</v>
      </c>
      <c r="H549" s="2"/>
      <c r="I549" s="19"/>
      <c r="J549" s="14">
        <v>-1800</v>
      </c>
      <c r="K549" s="2"/>
      <c r="L549" s="19"/>
      <c r="M549" s="14">
        <v>0</v>
      </c>
      <c r="N549" s="2"/>
      <c r="O549" s="14">
        <v>-429900</v>
      </c>
      <c r="P549" s="55">
        <v>201</v>
      </c>
      <c r="Q549" s="14">
        <v>-428100</v>
      </c>
      <c r="R549" s="2"/>
      <c r="S549" s="44">
        <f>[1]!DDIFF(-428100,-429900)</f>
        <v>-1800</v>
      </c>
      <c r="T549" s="2"/>
      <c r="U549" s="1"/>
      <c r="V549" s="62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</row>
    <row r="550" spans="1:67" hidden="1" outlineLevel="1" x14ac:dyDescent="0.25">
      <c r="A550" t="s">
        <v>2815</v>
      </c>
      <c r="E550" s="7"/>
      <c r="F550" s="10"/>
      <c r="G550" s="14"/>
      <c r="H550" s="2"/>
      <c r="I550" s="54" t="s">
        <v>2816</v>
      </c>
      <c r="J550" s="14">
        <v>-1800</v>
      </c>
      <c r="K550" s="2"/>
      <c r="L550" s="19"/>
      <c r="M550" s="14"/>
      <c r="N550" s="2"/>
      <c r="O550" s="14"/>
      <c r="P550" s="2"/>
      <c r="Q550" s="14"/>
      <c r="R550" s="2"/>
      <c r="S550" s="14"/>
      <c r="T550" s="2"/>
      <c r="U550" s="1"/>
      <c r="V550" s="62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</row>
    <row r="551" spans="1:67" x14ac:dyDescent="0.25">
      <c r="A551" t="s">
        <v>943</v>
      </c>
      <c r="E551" s="45" t="s">
        <v>944</v>
      </c>
      <c r="F551" s="46" t="s">
        <v>937</v>
      </c>
      <c r="G551" s="15">
        <v>-428100</v>
      </c>
      <c r="H551" s="3"/>
      <c r="I551" s="20"/>
      <c r="J551" s="15">
        <v>-1800</v>
      </c>
      <c r="K551" s="3"/>
      <c r="L551" s="20"/>
      <c r="M551" s="15">
        <v>0</v>
      </c>
      <c r="N551" s="3"/>
      <c r="O551" s="15">
        <v>-429900</v>
      </c>
      <c r="P551" s="3"/>
      <c r="Q551" s="15">
        <v>-428100</v>
      </c>
      <c r="R551" s="3"/>
      <c r="S551" s="47">
        <f>[1]!DDIFF(-428100,-429900)</f>
        <v>-1800</v>
      </c>
      <c r="T551" s="3"/>
      <c r="U551" s="1"/>
      <c r="V551" s="62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</row>
    <row r="552" spans="1:67" x14ac:dyDescent="0.25">
      <c r="A552" t="s">
        <v>945</v>
      </c>
      <c r="H552" s="1"/>
      <c r="K552" s="1"/>
      <c r="N552" s="1"/>
      <c r="P552" s="1"/>
      <c r="R552" s="1"/>
      <c r="T552" s="1"/>
      <c r="U552" s="1"/>
      <c r="V552" s="62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</row>
    <row r="553" spans="1:67" x14ac:dyDescent="0.25">
      <c r="A553" t="s">
        <v>946</v>
      </c>
      <c r="E553" s="40" t="s">
        <v>947</v>
      </c>
      <c r="F553" s="41" t="s">
        <v>948</v>
      </c>
      <c r="H553" s="1"/>
      <c r="K553" s="1"/>
      <c r="N553" s="1"/>
      <c r="P553" s="1"/>
      <c r="R553" s="1"/>
      <c r="T553" s="1"/>
      <c r="U553" s="1"/>
      <c r="V553" s="62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</row>
    <row r="554" spans="1:67" x14ac:dyDescent="0.25">
      <c r="A554" t="s">
        <v>949</v>
      </c>
      <c r="E554" s="42" t="s">
        <v>950</v>
      </c>
      <c r="F554" s="43" t="s">
        <v>951</v>
      </c>
      <c r="G554" s="14">
        <v>-129220</v>
      </c>
      <c r="H554" s="2"/>
      <c r="I554" s="19"/>
      <c r="J554" s="14">
        <v>0</v>
      </c>
      <c r="K554" s="2"/>
      <c r="L554" s="19"/>
      <c r="M554" s="14">
        <v>0</v>
      </c>
      <c r="N554" s="2"/>
      <c r="O554" s="14">
        <v>-129220</v>
      </c>
      <c r="P554" s="55" t="s">
        <v>2863</v>
      </c>
      <c r="Q554" s="14">
        <v>-129220</v>
      </c>
      <c r="R554" s="2"/>
      <c r="S554" s="44">
        <f>[1]!DDIFF(-129220,-129220)</f>
        <v>0</v>
      </c>
      <c r="T554" s="2"/>
      <c r="U554" s="1"/>
      <c r="V554" s="62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</row>
    <row r="555" spans="1:67" x14ac:dyDescent="0.25">
      <c r="A555" t="s">
        <v>952</v>
      </c>
      <c r="E555" s="42" t="s">
        <v>953</v>
      </c>
      <c r="F555" s="43" t="s">
        <v>954</v>
      </c>
      <c r="G555" s="14">
        <v>-54049</v>
      </c>
      <c r="H555" s="2"/>
      <c r="I555" s="19"/>
      <c r="J555" s="14">
        <v>0</v>
      </c>
      <c r="K555" s="2"/>
      <c r="L555" s="19"/>
      <c r="M555" s="14">
        <v>0</v>
      </c>
      <c r="N555" s="2"/>
      <c r="O555" s="14">
        <v>-54049</v>
      </c>
      <c r="P555" s="55" t="s">
        <v>2863</v>
      </c>
      <c r="Q555" s="14">
        <v>-54049</v>
      </c>
      <c r="R555" s="2"/>
      <c r="S555" s="44">
        <f>[1]!DDIFF(-54049,-54049)</f>
        <v>0</v>
      </c>
      <c r="T555" s="2"/>
      <c r="U555" s="1"/>
      <c r="V555" s="62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</row>
    <row r="556" spans="1:67" hidden="1" x14ac:dyDescent="0.25">
      <c r="A556" t="s">
        <v>955</v>
      </c>
      <c r="E556" s="42" t="s">
        <v>956</v>
      </c>
      <c r="F556" s="43" t="s">
        <v>951</v>
      </c>
      <c r="G556" s="14">
        <v>0</v>
      </c>
      <c r="H556" s="2"/>
      <c r="I556" s="19"/>
      <c r="J556" s="14">
        <v>0</v>
      </c>
      <c r="K556" s="2"/>
      <c r="L556" s="19"/>
      <c r="M556" s="14">
        <v>0</v>
      </c>
      <c r="N556" s="2"/>
      <c r="O556" s="14">
        <v>0</v>
      </c>
      <c r="P556" s="2"/>
      <c r="Q556" s="14">
        <v>0</v>
      </c>
      <c r="R556" s="2"/>
      <c r="S556" s="44">
        <f>[1]!DDIFF(0,0)</f>
        <v>0</v>
      </c>
      <c r="T556" s="2"/>
      <c r="U556" s="1"/>
      <c r="V556" s="62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</row>
    <row r="557" spans="1:67" hidden="1" x14ac:dyDescent="0.25">
      <c r="A557" t="s">
        <v>957</v>
      </c>
      <c r="E557" s="42" t="s">
        <v>958</v>
      </c>
      <c r="F557" s="43" t="s">
        <v>959</v>
      </c>
      <c r="G557" s="14">
        <v>0</v>
      </c>
      <c r="H557" s="2"/>
      <c r="I557" s="19"/>
      <c r="J557" s="14">
        <v>0</v>
      </c>
      <c r="K557" s="2"/>
      <c r="L557" s="19"/>
      <c r="M557" s="14">
        <v>0</v>
      </c>
      <c r="N557" s="2"/>
      <c r="O557" s="14">
        <v>0</v>
      </c>
      <c r="P557" s="2"/>
      <c r="Q557" s="14">
        <v>0</v>
      </c>
      <c r="R557" s="2"/>
      <c r="S557" s="44">
        <f>[1]!DDIFF(0,0)</f>
        <v>0</v>
      </c>
      <c r="T557" s="2"/>
      <c r="U557" s="1"/>
      <c r="V557" s="62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</row>
    <row r="558" spans="1:67" x14ac:dyDescent="0.25">
      <c r="A558" t="s">
        <v>960</v>
      </c>
      <c r="E558" s="45" t="s">
        <v>961</v>
      </c>
      <c r="F558" s="46" t="s">
        <v>948</v>
      </c>
      <c r="G558" s="15">
        <v>-183269</v>
      </c>
      <c r="H558" s="3"/>
      <c r="I558" s="20"/>
      <c r="J558" s="15">
        <v>0</v>
      </c>
      <c r="K558" s="3"/>
      <c r="L558" s="20"/>
      <c r="M558" s="15">
        <v>0</v>
      </c>
      <c r="N558" s="3"/>
      <c r="O558" s="15">
        <v>-183269</v>
      </c>
      <c r="P558" s="3"/>
      <c r="Q558" s="15">
        <v>-183269</v>
      </c>
      <c r="R558" s="3"/>
      <c r="S558" s="47">
        <f>[1]!DDIFF(-183269,-183269)</f>
        <v>0</v>
      </c>
      <c r="T558" s="3"/>
      <c r="U558" s="1"/>
      <c r="V558" s="62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</row>
    <row r="559" spans="1:67" x14ac:dyDescent="0.25">
      <c r="A559" t="s">
        <v>962</v>
      </c>
      <c r="H559" s="1"/>
      <c r="K559" s="1"/>
      <c r="N559" s="1"/>
      <c r="P559" s="1"/>
      <c r="R559" s="1"/>
      <c r="T559" s="1"/>
      <c r="U559" s="1"/>
      <c r="V559" s="62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</row>
    <row r="560" spans="1:67" hidden="1" x14ac:dyDescent="0.25">
      <c r="A560" t="s">
        <v>963</v>
      </c>
      <c r="E560" s="40" t="s">
        <v>964</v>
      </c>
      <c r="F560" s="41" t="s">
        <v>965</v>
      </c>
      <c r="H560" s="1"/>
      <c r="K560" s="1"/>
      <c r="N560" s="1"/>
      <c r="P560" s="1"/>
      <c r="R560" s="1"/>
      <c r="T560" s="1"/>
      <c r="U560" s="1"/>
      <c r="V560" s="62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</row>
    <row r="561" spans="1:67" hidden="1" x14ac:dyDescent="0.25">
      <c r="A561" t="s">
        <v>966</v>
      </c>
      <c r="E561" s="42" t="s">
        <v>967</v>
      </c>
      <c r="F561" s="43" t="s">
        <v>968</v>
      </c>
      <c r="G561" s="14">
        <v>0</v>
      </c>
      <c r="H561" s="2"/>
      <c r="I561" s="19"/>
      <c r="J561" s="14">
        <v>0</v>
      </c>
      <c r="K561" s="2"/>
      <c r="L561" s="19"/>
      <c r="M561" s="14">
        <v>0</v>
      </c>
      <c r="N561" s="2"/>
      <c r="O561" s="14">
        <v>0</v>
      </c>
      <c r="P561" s="2"/>
      <c r="Q561" s="14">
        <v>0</v>
      </c>
      <c r="R561" s="2"/>
      <c r="S561" s="44">
        <f>[1]!DDIFF(0,0)</f>
        <v>0</v>
      </c>
      <c r="T561" s="2"/>
      <c r="U561" s="1"/>
      <c r="V561" s="62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</row>
    <row r="562" spans="1:67" hidden="1" x14ac:dyDescent="0.25">
      <c r="A562" t="s">
        <v>969</v>
      </c>
      <c r="E562" s="45" t="s">
        <v>970</v>
      </c>
      <c r="F562" s="46" t="s">
        <v>965</v>
      </c>
      <c r="G562" s="15">
        <v>0</v>
      </c>
      <c r="H562" s="3"/>
      <c r="I562" s="20"/>
      <c r="J562" s="15">
        <v>0</v>
      </c>
      <c r="K562" s="3"/>
      <c r="L562" s="20"/>
      <c r="M562" s="15">
        <v>0</v>
      </c>
      <c r="N562" s="3"/>
      <c r="O562" s="15">
        <v>0</v>
      </c>
      <c r="P562" s="3"/>
      <c r="Q562" s="15">
        <v>0</v>
      </c>
      <c r="R562" s="3"/>
      <c r="S562" s="47">
        <f>[1]!DDIFF(0,0)</f>
        <v>0</v>
      </c>
      <c r="T562" s="3"/>
      <c r="U562" s="1"/>
      <c r="V562" s="62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</row>
    <row r="563" spans="1:67" hidden="1" x14ac:dyDescent="0.25">
      <c r="A563" t="s">
        <v>971</v>
      </c>
      <c r="H563" s="1"/>
      <c r="K563" s="1"/>
      <c r="N563" s="1"/>
      <c r="P563" s="1"/>
      <c r="R563" s="1"/>
      <c r="T563" s="1"/>
      <c r="U563" s="1"/>
      <c r="V563" s="62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</row>
    <row r="564" spans="1:67" x14ac:dyDescent="0.25">
      <c r="A564" t="s">
        <v>972</v>
      </c>
      <c r="E564" s="40" t="s">
        <v>973</v>
      </c>
      <c r="F564" s="41" t="s">
        <v>974</v>
      </c>
      <c r="H564" s="1"/>
      <c r="K564" s="1"/>
      <c r="N564" s="1"/>
      <c r="P564" s="1"/>
      <c r="R564" s="1"/>
      <c r="T564" s="1"/>
      <c r="U564" s="1"/>
      <c r="V564" s="62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</row>
    <row r="565" spans="1:67" collapsed="1" x14ac:dyDescent="0.25">
      <c r="A565" t="s">
        <v>975</v>
      </c>
      <c r="E565" s="42" t="s">
        <v>976</v>
      </c>
      <c r="F565" s="43" t="s">
        <v>977</v>
      </c>
      <c r="G565" s="14">
        <v>1777699</v>
      </c>
      <c r="H565" s="2"/>
      <c r="I565" s="19"/>
      <c r="J565" s="14">
        <v>20046</v>
      </c>
      <c r="K565" s="2"/>
      <c r="L565" s="19"/>
      <c r="M565" s="14">
        <v>0</v>
      </c>
      <c r="N565" s="2"/>
      <c r="O565" s="14">
        <v>1797745</v>
      </c>
      <c r="P565" s="55" t="s">
        <v>2863</v>
      </c>
      <c r="Q565" s="14">
        <v>1767645</v>
      </c>
      <c r="R565" s="2"/>
      <c r="S565" s="44">
        <f>[1]!DDIFF(1767645,1797745)</f>
        <v>30100</v>
      </c>
      <c r="T565" s="2"/>
      <c r="U565" s="1"/>
      <c r="V565" s="62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</row>
    <row r="566" spans="1:67" hidden="1" outlineLevel="1" x14ac:dyDescent="0.25">
      <c r="A566" t="s">
        <v>2817</v>
      </c>
      <c r="E566" s="7"/>
      <c r="F566" s="10"/>
      <c r="G566" s="14"/>
      <c r="H566" s="2"/>
      <c r="I566" s="54" t="s">
        <v>2810</v>
      </c>
      <c r="J566" s="14">
        <v>20046</v>
      </c>
      <c r="K566" s="2"/>
      <c r="L566" s="19"/>
      <c r="M566" s="14"/>
      <c r="N566" s="2"/>
      <c r="O566" s="14"/>
      <c r="P566" s="2"/>
      <c r="Q566" s="14"/>
      <c r="R566" s="2"/>
      <c r="S566" s="14"/>
      <c r="T566" s="2"/>
      <c r="U566" s="1"/>
      <c r="V566" s="62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</row>
    <row r="567" spans="1:67" hidden="1" x14ac:dyDescent="0.25">
      <c r="A567" t="s">
        <v>978</v>
      </c>
      <c r="E567" s="42" t="s">
        <v>979</v>
      </c>
      <c r="F567" s="43" t="s">
        <v>977</v>
      </c>
      <c r="G567" s="14">
        <v>0</v>
      </c>
      <c r="H567" s="2"/>
      <c r="I567" s="19"/>
      <c r="J567" s="14">
        <v>0</v>
      </c>
      <c r="K567" s="2"/>
      <c r="L567" s="19"/>
      <c r="M567" s="14">
        <v>0</v>
      </c>
      <c r="N567" s="2"/>
      <c r="O567" s="14">
        <v>0</v>
      </c>
      <c r="P567" s="2"/>
      <c r="Q567" s="14">
        <v>0</v>
      </c>
      <c r="R567" s="2"/>
      <c r="S567" s="44">
        <f>[1]!DDIFF(0,0)</f>
        <v>0</v>
      </c>
      <c r="T567" s="2"/>
      <c r="U567" s="1"/>
      <c r="V567" s="62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</row>
    <row r="568" spans="1:67" hidden="1" x14ac:dyDescent="0.25">
      <c r="A568" t="s">
        <v>980</v>
      </c>
      <c r="E568" s="42" t="s">
        <v>981</v>
      </c>
      <c r="F568" s="43" t="s">
        <v>977</v>
      </c>
      <c r="G568" s="14">
        <v>0</v>
      </c>
      <c r="H568" s="2"/>
      <c r="I568" s="19"/>
      <c r="J568" s="14">
        <v>0</v>
      </c>
      <c r="K568" s="2"/>
      <c r="L568" s="19"/>
      <c r="M568" s="14">
        <v>0</v>
      </c>
      <c r="N568" s="2"/>
      <c r="O568" s="14">
        <v>0</v>
      </c>
      <c r="P568" s="2"/>
      <c r="Q568" s="14">
        <v>0</v>
      </c>
      <c r="R568" s="2"/>
      <c r="S568" s="44">
        <f>[1]!DDIFF(0,0)</f>
        <v>0</v>
      </c>
      <c r="T568" s="2"/>
      <c r="U568" s="1"/>
      <c r="V568" s="62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</row>
    <row r="569" spans="1:67" x14ac:dyDescent="0.25">
      <c r="A569" t="s">
        <v>982</v>
      </c>
      <c r="E569" s="45" t="s">
        <v>983</v>
      </c>
      <c r="F569" s="46" t="s">
        <v>974</v>
      </c>
      <c r="G569" s="15">
        <v>1777699</v>
      </c>
      <c r="H569" s="3"/>
      <c r="I569" s="20"/>
      <c r="J569" s="15">
        <v>20046</v>
      </c>
      <c r="K569" s="3"/>
      <c r="L569" s="20"/>
      <c r="M569" s="15">
        <v>0</v>
      </c>
      <c r="N569" s="3"/>
      <c r="O569" s="15">
        <v>1797745</v>
      </c>
      <c r="P569" s="3"/>
      <c r="Q569" s="15">
        <v>1767645</v>
      </c>
      <c r="R569" s="3"/>
      <c r="S569" s="47">
        <f>[1]!DDIFF(1767645,1797745)</f>
        <v>30100</v>
      </c>
      <c r="T569" s="3"/>
      <c r="U569" s="1"/>
      <c r="V569" s="62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</row>
    <row r="570" spans="1:67" x14ac:dyDescent="0.25">
      <c r="A570" t="s">
        <v>984</v>
      </c>
      <c r="H570" s="1"/>
      <c r="K570" s="1"/>
      <c r="N570" s="1"/>
      <c r="P570" s="1"/>
      <c r="R570" s="1"/>
      <c r="T570" s="1"/>
      <c r="U570" s="1"/>
      <c r="V570" s="62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</row>
    <row r="571" spans="1:67" x14ac:dyDescent="0.25">
      <c r="A571" t="s">
        <v>985</v>
      </c>
      <c r="E571" s="40" t="s">
        <v>986</v>
      </c>
      <c r="F571" s="41" t="s">
        <v>987</v>
      </c>
      <c r="H571" s="1"/>
      <c r="K571" s="1"/>
      <c r="N571" s="1"/>
      <c r="P571" s="1"/>
      <c r="R571" s="1"/>
      <c r="T571" s="1"/>
      <c r="U571" s="1"/>
      <c r="V571" s="62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</row>
    <row r="572" spans="1:67" hidden="1" x14ac:dyDescent="0.25">
      <c r="A572" t="s">
        <v>988</v>
      </c>
      <c r="E572" s="42" t="s">
        <v>989</v>
      </c>
      <c r="F572" s="43" t="s">
        <v>990</v>
      </c>
      <c r="G572" s="14">
        <v>0</v>
      </c>
      <c r="H572" s="2"/>
      <c r="I572" s="19"/>
      <c r="J572" s="14">
        <v>0</v>
      </c>
      <c r="K572" s="2"/>
      <c r="L572" s="19"/>
      <c r="M572" s="14">
        <v>0</v>
      </c>
      <c r="N572" s="2"/>
      <c r="O572" s="14">
        <v>0</v>
      </c>
      <c r="P572" s="2"/>
      <c r="Q572" s="14">
        <v>0</v>
      </c>
      <c r="R572" s="2"/>
      <c r="S572" s="44">
        <f>[1]!DDIFF(0,0)</f>
        <v>0</v>
      </c>
      <c r="T572" s="2"/>
      <c r="U572" s="1"/>
      <c r="V572" s="62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</row>
    <row r="573" spans="1:67" collapsed="1" x14ac:dyDescent="0.25">
      <c r="A573" t="s">
        <v>991</v>
      </c>
      <c r="E573" s="42" t="s">
        <v>992</v>
      </c>
      <c r="F573" s="43" t="s">
        <v>993</v>
      </c>
      <c r="G573" s="14">
        <v>-60381969</v>
      </c>
      <c r="H573" s="2"/>
      <c r="I573" s="19"/>
      <c r="J573" s="14">
        <v>0</v>
      </c>
      <c r="K573" s="2"/>
      <c r="L573" s="19"/>
      <c r="M573" s="14">
        <v>0</v>
      </c>
      <c r="N573" s="2"/>
      <c r="O573" s="14">
        <v>-60381969</v>
      </c>
      <c r="P573" s="55" t="s">
        <v>2863</v>
      </c>
      <c r="Q573" s="14">
        <v>-60731555</v>
      </c>
      <c r="R573" s="2"/>
      <c r="S573" s="44">
        <f>[1]!DDIFF(-60731555,-60381969)</f>
        <v>349586</v>
      </c>
      <c r="T573" s="2"/>
      <c r="U573" s="1"/>
      <c r="V573" s="62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</row>
    <row r="574" spans="1:67" hidden="1" x14ac:dyDescent="0.25">
      <c r="A574" t="s">
        <v>994</v>
      </c>
      <c r="E574" s="42" t="s">
        <v>995</v>
      </c>
      <c r="F574" s="43" t="s">
        <v>996</v>
      </c>
      <c r="G574" s="14">
        <v>0</v>
      </c>
      <c r="H574" s="2"/>
      <c r="I574" s="19"/>
      <c r="J574" s="14">
        <v>0</v>
      </c>
      <c r="K574" s="2"/>
      <c r="L574" s="19"/>
      <c r="M574" s="14">
        <v>0</v>
      </c>
      <c r="N574" s="2"/>
      <c r="O574" s="14">
        <v>0</v>
      </c>
      <c r="P574" s="2"/>
      <c r="Q574" s="14">
        <v>0</v>
      </c>
      <c r="R574" s="2"/>
      <c r="S574" s="44">
        <f>[1]!DDIFF(0,0)</f>
        <v>0</v>
      </c>
      <c r="T574" s="2"/>
      <c r="U574" s="1"/>
      <c r="V574" s="62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</row>
    <row r="575" spans="1:67" hidden="1" x14ac:dyDescent="0.25">
      <c r="A575" t="s">
        <v>997</v>
      </c>
      <c r="E575" s="42" t="s">
        <v>998</v>
      </c>
      <c r="F575" s="43" t="s">
        <v>990</v>
      </c>
      <c r="G575" s="14">
        <v>0</v>
      </c>
      <c r="H575" s="2"/>
      <c r="I575" s="19"/>
      <c r="J575" s="14">
        <v>0</v>
      </c>
      <c r="K575" s="2"/>
      <c r="L575" s="19"/>
      <c r="M575" s="14">
        <v>0</v>
      </c>
      <c r="N575" s="2"/>
      <c r="O575" s="14">
        <v>0</v>
      </c>
      <c r="P575" s="2"/>
      <c r="Q575" s="14">
        <v>0</v>
      </c>
      <c r="R575" s="2"/>
      <c r="S575" s="44">
        <f>[1]!DDIFF(0,0)</f>
        <v>0</v>
      </c>
      <c r="T575" s="2"/>
      <c r="U575" s="1"/>
      <c r="V575" s="62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</row>
    <row r="576" spans="1:67" collapsed="1" x14ac:dyDescent="0.25">
      <c r="A576" t="s">
        <v>999</v>
      </c>
      <c r="E576" s="42" t="s">
        <v>1000</v>
      </c>
      <c r="F576" s="43" t="s">
        <v>993</v>
      </c>
      <c r="G576" s="14">
        <v>-9509886</v>
      </c>
      <c r="H576" s="2"/>
      <c r="I576" s="19"/>
      <c r="J576" s="14">
        <v>0</v>
      </c>
      <c r="K576" s="2"/>
      <c r="L576" s="19"/>
      <c r="M576" s="14">
        <v>0</v>
      </c>
      <c r="N576" s="2"/>
      <c r="O576" s="14">
        <v>-9509886</v>
      </c>
      <c r="P576" s="55" t="s">
        <v>2867</v>
      </c>
      <c r="Q576" s="14">
        <v>-8520830</v>
      </c>
      <c r="R576" s="2"/>
      <c r="S576" s="44">
        <f>[1]!DDIFF(-8520830,-9509886)</f>
        <v>-989056</v>
      </c>
      <c r="T576" s="2"/>
      <c r="U576" s="1"/>
      <c r="V576" s="62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</row>
    <row r="577" spans="1:67" hidden="1" x14ac:dyDescent="0.25">
      <c r="A577" t="s">
        <v>1001</v>
      </c>
      <c r="E577" s="42" t="s">
        <v>1002</v>
      </c>
      <c r="F577" s="43" t="s">
        <v>1003</v>
      </c>
      <c r="G577" s="14">
        <v>0</v>
      </c>
      <c r="H577" s="2"/>
      <c r="I577" s="19"/>
      <c r="J577" s="14">
        <v>0</v>
      </c>
      <c r="K577" s="2"/>
      <c r="L577" s="19"/>
      <c r="M577" s="14">
        <v>0</v>
      </c>
      <c r="N577" s="2"/>
      <c r="O577" s="14">
        <v>0</v>
      </c>
      <c r="P577" s="2"/>
      <c r="Q577" s="14">
        <v>0</v>
      </c>
      <c r="R577" s="2"/>
      <c r="S577" s="44">
        <f>[1]!DDIFF(0,0)</f>
        <v>0</v>
      </c>
      <c r="T577" s="2"/>
      <c r="U577" s="1"/>
      <c r="V577" s="62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</row>
    <row r="578" spans="1:67" hidden="1" x14ac:dyDescent="0.25">
      <c r="A578" t="s">
        <v>1004</v>
      </c>
      <c r="E578" s="42" t="s">
        <v>1005</v>
      </c>
      <c r="F578" s="43" t="s">
        <v>990</v>
      </c>
      <c r="G578" s="14">
        <v>0</v>
      </c>
      <c r="H578" s="2"/>
      <c r="I578" s="19"/>
      <c r="J578" s="14">
        <v>0</v>
      </c>
      <c r="K578" s="2"/>
      <c r="L578" s="19"/>
      <c r="M578" s="14">
        <v>0</v>
      </c>
      <c r="N578" s="2"/>
      <c r="O578" s="14">
        <v>0</v>
      </c>
      <c r="P578" s="2"/>
      <c r="Q578" s="14">
        <v>0</v>
      </c>
      <c r="R578" s="2"/>
      <c r="S578" s="44">
        <f>[1]!DDIFF(0,0)</f>
        <v>0</v>
      </c>
      <c r="T578" s="2"/>
      <c r="U578" s="1"/>
      <c r="V578" s="62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</row>
    <row r="579" spans="1:67" collapsed="1" x14ac:dyDescent="0.25">
      <c r="A579" t="s">
        <v>1006</v>
      </c>
      <c r="E579" s="42" t="s">
        <v>1007</v>
      </c>
      <c r="F579" s="43" t="s">
        <v>993</v>
      </c>
      <c r="G579" s="14">
        <v>-3796930</v>
      </c>
      <c r="H579" s="2"/>
      <c r="I579" s="19"/>
      <c r="J579" s="14">
        <v>2874</v>
      </c>
      <c r="K579" s="2"/>
      <c r="L579" s="19"/>
      <c r="M579" s="14">
        <v>0</v>
      </c>
      <c r="N579" s="2"/>
      <c r="O579" s="14">
        <v>-3794056</v>
      </c>
      <c r="P579" s="55" t="s">
        <v>2863</v>
      </c>
      <c r="Q579" s="14">
        <v>-3850451</v>
      </c>
      <c r="R579" s="2"/>
      <c r="S579" s="44">
        <f>[1]!DDIFF(-3850451,-3794056)</f>
        <v>56395</v>
      </c>
      <c r="T579" s="2"/>
      <c r="U579" s="1"/>
      <c r="V579" s="62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</row>
    <row r="580" spans="1:67" hidden="1" outlineLevel="1" x14ac:dyDescent="0.25">
      <c r="A580" t="s">
        <v>2818</v>
      </c>
      <c r="E580" s="7"/>
      <c r="F580" s="10"/>
      <c r="G580" s="14"/>
      <c r="H580" s="2"/>
      <c r="I580" s="54" t="s">
        <v>2819</v>
      </c>
      <c r="J580" s="14">
        <v>2874</v>
      </c>
      <c r="K580" s="2"/>
      <c r="L580" s="19"/>
      <c r="M580" s="14"/>
      <c r="N580" s="2"/>
      <c r="O580" s="14"/>
      <c r="P580" s="2"/>
      <c r="Q580" s="14"/>
      <c r="R580" s="2"/>
      <c r="S580" s="14"/>
      <c r="T580" s="2"/>
      <c r="U580" s="1"/>
      <c r="V580" s="62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</row>
    <row r="581" spans="1:67" hidden="1" x14ac:dyDescent="0.25">
      <c r="A581" t="s">
        <v>1008</v>
      </c>
      <c r="E581" s="42" t="s">
        <v>1009</v>
      </c>
      <c r="F581" s="43" t="s">
        <v>993</v>
      </c>
      <c r="G581" s="14">
        <v>0</v>
      </c>
      <c r="H581" s="2"/>
      <c r="I581" s="19"/>
      <c r="J581" s="14">
        <v>0</v>
      </c>
      <c r="K581" s="2"/>
      <c r="L581" s="19"/>
      <c r="M581" s="14">
        <v>0</v>
      </c>
      <c r="N581" s="2"/>
      <c r="O581" s="14">
        <v>0</v>
      </c>
      <c r="P581" s="2"/>
      <c r="Q581" s="14">
        <v>0</v>
      </c>
      <c r="R581" s="2"/>
      <c r="S581" s="44">
        <f>[1]!DDIFF(0,0)</f>
        <v>0</v>
      </c>
      <c r="T581" s="2"/>
      <c r="U581" s="1"/>
      <c r="V581" s="62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</row>
    <row r="582" spans="1:67" hidden="1" x14ac:dyDescent="0.25">
      <c r="A582" t="s">
        <v>1010</v>
      </c>
      <c r="E582" s="42" t="s">
        <v>1011</v>
      </c>
      <c r="F582" s="43" t="s">
        <v>993</v>
      </c>
      <c r="G582" s="14">
        <v>0</v>
      </c>
      <c r="H582" s="2"/>
      <c r="I582" s="19"/>
      <c r="J582" s="14">
        <v>0</v>
      </c>
      <c r="K582" s="2"/>
      <c r="L582" s="19"/>
      <c r="M582" s="14">
        <v>0</v>
      </c>
      <c r="N582" s="2"/>
      <c r="O582" s="14">
        <v>0</v>
      </c>
      <c r="P582" s="2"/>
      <c r="Q582" s="14">
        <v>0</v>
      </c>
      <c r="R582" s="2"/>
      <c r="S582" s="44">
        <f>[1]!DDIFF(0,0)</f>
        <v>0</v>
      </c>
      <c r="T582" s="2"/>
      <c r="U582" s="1"/>
      <c r="V582" s="62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</row>
    <row r="583" spans="1:67" hidden="1" x14ac:dyDescent="0.25">
      <c r="A583" t="s">
        <v>1012</v>
      </c>
      <c r="E583" s="42" t="s">
        <v>1013</v>
      </c>
      <c r="F583" s="43" t="s">
        <v>993</v>
      </c>
      <c r="G583" s="14">
        <v>0</v>
      </c>
      <c r="H583" s="2"/>
      <c r="I583" s="19"/>
      <c r="J583" s="14">
        <v>0</v>
      </c>
      <c r="K583" s="2"/>
      <c r="L583" s="19"/>
      <c r="M583" s="14">
        <v>0</v>
      </c>
      <c r="N583" s="2"/>
      <c r="O583" s="14">
        <v>0</v>
      </c>
      <c r="P583" s="2"/>
      <c r="Q583" s="14">
        <v>0</v>
      </c>
      <c r="R583" s="2"/>
      <c r="S583" s="44">
        <f>[1]!DDIFF(0,0)</f>
        <v>0</v>
      </c>
      <c r="T583" s="2"/>
      <c r="U583" s="1"/>
      <c r="V583" s="62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</row>
    <row r="584" spans="1:67" x14ac:dyDescent="0.25">
      <c r="A584" t="s">
        <v>1014</v>
      </c>
      <c r="E584" s="45" t="s">
        <v>1015</v>
      </c>
      <c r="F584" s="46" t="s">
        <v>987</v>
      </c>
      <c r="G584" s="15">
        <v>-73688785</v>
      </c>
      <c r="H584" s="3"/>
      <c r="I584" s="20"/>
      <c r="J584" s="15">
        <v>2874</v>
      </c>
      <c r="K584" s="3"/>
      <c r="L584" s="20"/>
      <c r="M584" s="15">
        <v>0</v>
      </c>
      <c r="N584" s="3"/>
      <c r="O584" s="15">
        <v>-73685911</v>
      </c>
      <c r="P584" s="3"/>
      <c r="Q584" s="15">
        <v>-73102836</v>
      </c>
      <c r="R584" s="3"/>
      <c r="S584" s="47">
        <f>[1]!DDIFF(-73102836,-73685911)</f>
        <v>-583075</v>
      </c>
      <c r="T584" s="3"/>
      <c r="U584" s="1"/>
      <c r="V584" s="62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</row>
    <row r="585" spans="1:67" x14ac:dyDescent="0.25">
      <c r="A585" t="s">
        <v>1016</v>
      </c>
      <c r="H585" s="1"/>
      <c r="K585" s="1"/>
      <c r="N585" s="1"/>
      <c r="P585" s="1"/>
      <c r="R585" s="1"/>
      <c r="T585" s="1"/>
      <c r="U585" s="1"/>
      <c r="V585" s="62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</row>
    <row r="586" spans="1:67" x14ac:dyDescent="0.25">
      <c r="A586" t="s">
        <v>1017</v>
      </c>
      <c r="E586" s="40" t="s">
        <v>1018</v>
      </c>
      <c r="F586" s="41" t="s">
        <v>1019</v>
      </c>
      <c r="H586" s="1"/>
      <c r="K586" s="1"/>
      <c r="N586" s="1"/>
      <c r="P586" s="1"/>
      <c r="R586" s="1"/>
      <c r="T586" s="1"/>
      <c r="U586" s="1"/>
      <c r="V586" s="62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</row>
    <row r="587" spans="1:67" collapsed="1" x14ac:dyDescent="0.25">
      <c r="A587" t="s">
        <v>1020</v>
      </c>
      <c r="E587" s="42" t="s">
        <v>1021</v>
      </c>
      <c r="F587" s="43" t="s">
        <v>1022</v>
      </c>
      <c r="G587" s="14">
        <v>3222</v>
      </c>
      <c r="H587" s="2"/>
      <c r="I587" s="19"/>
      <c r="J587" s="14">
        <v>-446</v>
      </c>
      <c r="K587" s="2"/>
      <c r="L587" s="19"/>
      <c r="M587" s="14">
        <v>0</v>
      </c>
      <c r="N587" s="2"/>
      <c r="O587" s="14">
        <v>2776</v>
      </c>
      <c r="P587" s="55" t="s">
        <v>2863</v>
      </c>
      <c r="Q587" s="14">
        <v>3222</v>
      </c>
      <c r="R587" s="2"/>
      <c r="S587" s="44">
        <f>[1]!DDIFF(3222,2776)</f>
        <v>-446</v>
      </c>
      <c r="T587" s="2"/>
      <c r="U587" s="1"/>
      <c r="V587" s="62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</row>
    <row r="588" spans="1:67" hidden="1" outlineLevel="1" x14ac:dyDescent="0.25">
      <c r="A588" t="s">
        <v>2820</v>
      </c>
      <c r="E588" s="7"/>
      <c r="F588" s="10"/>
      <c r="G588" s="14"/>
      <c r="H588" s="2"/>
      <c r="I588" s="54" t="s">
        <v>2810</v>
      </c>
      <c r="J588" s="14">
        <v>-446</v>
      </c>
      <c r="K588" s="2"/>
      <c r="L588" s="19"/>
      <c r="M588" s="14"/>
      <c r="N588" s="2"/>
      <c r="O588" s="14"/>
      <c r="P588" s="2"/>
      <c r="Q588" s="14"/>
      <c r="R588" s="2"/>
      <c r="S588" s="14"/>
      <c r="T588" s="2"/>
      <c r="U588" s="1"/>
      <c r="V588" s="62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</row>
    <row r="589" spans="1:67" x14ac:dyDescent="0.25">
      <c r="A589" t="s">
        <v>1023</v>
      </c>
      <c r="E589" s="45" t="s">
        <v>1024</v>
      </c>
      <c r="F589" s="46" t="s">
        <v>1019</v>
      </c>
      <c r="G589" s="15">
        <v>3222</v>
      </c>
      <c r="H589" s="3"/>
      <c r="I589" s="20"/>
      <c r="J589" s="15">
        <v>-446</v>
      </c>
      <c r="K589" s="3"/>
      <c r="L589" s="20"/>
      <c r="M589" s="15">
        <v>0</v>
      </c>
      <c r="N589" s="3"/>
      <c r="O589" s="15">
        <v>2776</v>
      </c>
      <c r="P589" s="3"/>
      <c r="Q589" s="15">
        <v>3222</v>
      </c>
      <c r="R589" s="3"/>
      <c r="S589" s="47">
        <f>[1]!DDIFF(3222,2776)</f>
        <v>-446</v>
      </c>
      <c r="T589" s="3"/>
      <c r="U589" s="1"/>
      <c r="V589" s="62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</row>
    <row r="590" spans="1:67" x14ac:dyDescent="0.25">
      <c r="A590" t="s">
        <v>1025</v>
      </c>
      <c r="H590" s="1"/>
      <c r="K590" s="1"/>
      <c r="N590" s="1"/>
      <c r="P590" s="1"/>
      <c r="R590" s="1"/>
      <c r="T590" s="1"/>
      <c r="U590" s="1"/>
      <c r="V590" s="62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</row>
    <row r="591" spans="1:67" hidden="1" x14ac:dyDescent="0.25">
      <c r="A591" t="s">
        <v>1026</v>
      </c>
      <c r="E591" s="40" t="s">
        <v>190</v>
      </c>
      <c r="F591" s="11"/>
      <c r="H591" s="1"/>
      <c r="K591" s="1"/>
      <c r="N591" s="1"/>
      <c r="P591" s="1"/>
      <c r="R591" s="1"/>
      <c r="T591" s="1"/>
      <c r="U591" s="1"/>
      <c r="V591" s="62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</row>
    <row r="592" spans="1:67" hidden="1" x14ac:dyDescent="0.25">
      <c r="A592" t="s">
        <v>1027</v>
      </c>
      <c r="E592" s="45" t="s">
        <v>192</v>
      </c>
      <c r="F592" s="12"/>
      <c r="G592" s="15">
        <v>0</v>
      </c>
      <c r="H592" s="3"/>
      <c r="I592" s="20"/>
      <c r="J592" s="15">
        <v>0</v>
      </c>
      <c r="K592" s="3"/>
      <c r="L592" s="20"/>
      <c r="M592" s="15">
        <v>0</v>
      </c>
      <c r="N592" s="3"/>
      <c r="O592" s="15">
        <v>0</v>
      </c>
      <c r="P592" s="3"/>
      <c r="Q592" s="15">
        <v>0</v>
      </c>
      <c r="R592" s="3"/>
      <c r="S592" s="47">
        <f>[1]!DDIFF(0,0)</f>
        <v>0</v>
      </c>
      <c r="T592" s="3"/>
      <c r="U592" s="1"/>
      <c r="V592" s="62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</row>
    <row r="593" spans="1:67" ht="15.75" thickBot="1" x14ac:dyDescent="0.3">
      <c r="A593" t="s">
        <v>1028</v>
      </c>
      <c r="E593" s="48" t="s">
        <v>1029</v>
      </c>
      <c r="F593" s="49" t="s">
        <v>920</v>
      </c>
      <c r="G593" s="16">
        <v>-72625613</v>
      </c>
      <c r="H593" s="4"/>
      <c r="I593" s="21"/>
      <c r="J593" s="16">
        <v>20674</v>
      </c>
      <c r="K593" s="4"/>
      <c r="L593" s="21"/>
      <c r="M593" s="16">
        <v>0</v>
      </c>
      <c r="N593" s="4"/>
      <c r="O593" s="16">
        <v>-72604939</v>
      </c>
      <c r="P593" s="4"/>
      <c r="Q593" s="16">
        <v>-72049718</v>
      </c>
      <c r="R593" s="4"/>
      <c r="S593" s="50">
        <f>[1]!DDIFF(-72049718,-72604939)</f>
        <v>-555221</v>
      </c>
      <c r="T593" s="4"/>
      <c r="U593" s="1"/>
      <c r="V593" s="62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</row>
    <row r="594" spans="1:67" ht="15.75" thickTop="1" x14ac:dyDescent="0.25">
      <c r="A594" t="s">
        <v>1030</v>
      </c>
      <c r="H594" s="1"/>
      <c r="K594" s="1"/>
      <c r="N594" s="1"/>
      <c r="P594" s="1"/>
      <c r="R594" s="1"/>
      <c r="T594" s="1"/>
      <c r="U594" s="1"/>
      <c r="V594" s="62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</row>
    <row r="595" spans="1:67" x14ac:dyDescent="0.25">
      <c r="A595" t="s">
        <v>1266</v>
      </c>
      <c r="E595" s="38" t="s">
        <v>1267</v>
      </c>
      <c r="F595" s="39" t="s">
        <v>1268</v>
      </c>
      <c r="H595" s="1"/>
      <c r="K595" s="1"/>
      <c r="N595" s="1"/>
      <c r="P595" s="1"/>
      <c r="R595" s="1"/>
      <c r="T595" s="1"/>
      <c r="U595" s="1"/>
      <c r="V595" s="62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</row>
    <row r="596" spans="1:67" x14ac:dyDescent="0.25">
      <c r="A596" t="s">
        <v>1269</v>
      </c>
      <c r="E596" s="40" t="s">
        <v>2563</v>
      </c>
      <c r="F596" s="41" t="s">
        <v>1271</v>
      </c>
      <c r="H596" s="1"/>
      <c r="K596" s="1"/>
      <c r="N596" s="1"/>
      <c r="P596" s="1"/>
      <c r="R596" s="1"/>
      <c r="T596" s="1"/>
      <c r="U596" s="1"/>
      <c r="V596" s="62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</row>
    <row r="597" spans="1:67" collapsed="1" x14ac:dyDescent="0.25">
      <c r="A597" t="s">
        <v>1272</v>
      </c>
      <c r="E597" s="42" t="s">
        <v>1273</v>
      </c>
      <c r="F597" s="43" t="s">
        <v>1274</v>
      </c>
      <c r="G597" s="14">
        <v>-1734984</v>
      </c>
      <c r="H597" s="2"/>
      <c r="I597" s="19"/>
      <c r="J597" s="14">
        <v>446</v>
      </c>
      <c r="K597" s="2"/>
      <c r="L597" s="19"/>
      <c r="M597" s="14">
        <v>0</v>
      </c>
      <c r="N597" s="2"/>
      <c r="O597" s="14">
        <v>-1734538</v>
      </c>
      <c r="P597" s="55" t="s">
        <v>2863</v>
      </c>
      <c r="Q597" s="14">
        <v>-1438648</v>
      </c>
      <c r="R597" s="2"/>
      <c r="S597" s="44">
        <f>[1]!DDIFF(-1438648,-1734538)</f>
        <v>-295890</v>
      </c>
      <c r="T597" s="2"/>
      <c r="U597" s="1"/>
      <c r="V597" s="62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</row>
    <row r="598" spans="1:67" hidden="1" outlineLevel="1" x14ac:dyDescent="0.25">
      <c r="A598" t="s">
        <v>2821</v>
      </c>
      <c r="E598" s="7"/>
      <c r="F598" s="10"/>
      <c r="G598" s="14"/>
      <c r="H598" s="2"/>
      <c r="I598" s="54" t="s">
        <v>2810</v>
      </c>
      <c r="J598" s="14">
        <v>446</v>
      </c>
      <c r="K598" s="2"/>
      <c r="L598" s="19"/>
      <c r="M598" s="14"/>
      <c r="N598" s="2"/>
      <c r="O598" s="14"/>
      <c r="P598" s="2"/>
      <c r="Q598" s="14"/>
      <c r="R598" s="2"/>
      <c r="S598" s="14"/>
      <c r="T598" s="2"/>
      <c r="U598" s="1"/>
      <c r="V598" s="62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</row>
    <row r="599" spans="1:67" x14ac:dyDescent="0.25">
      <c r="A599" t="s">
        <v>1275</v>
      </c>
      <c r="E599" s="42" t="s">
        <v>1276</v>
      </c>
      <c r="F599" s="43" t="s">
        <v>1277</v>
      </c>
      <c r="G599" s="14">
        <v>-3274</v>
      </c>
      <c r="H599" s="2"/>
      <c r="I599" s="19"/>
      <c r="J599" s="14">
        <v>0</v>
      </c>
      <c r="K599" s="2"/>
      <c r="L599" s="19"/>
      <c r="M599" s="14">
        <v>0</v>
      </c>
      <c r="N599" s="2"/>
      <c r="O599" s="14">
        <v>-3274</v>
      </c>
      <c r="P599" s="55" t="s">
        <v>2863</v>
      </c>
      <c r="Q599" s="14">
        <v>-3177</v>
      </c>
      <c r="R599" s="2"/>
      <c r="S599" s="44">
        <f>[1]!DDIFF(-3177,-3274)</f>
        <v>-97</v>
      </c>
      <c r="T599" s="2"/>
      <c r="U599" s="1"/>
      <c r="V599" s="62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</row>
    <row r="600" spans="1:67" x14ac:dyDescent="0.25">
      <c r="A600" t="s">
        <v>1278</v>
      </c>
      <c r="E600" s="42" t="s">
        <v>1279</v>
      </c>
      <c r="F600" s="43" t="s">
        <v>1274</v>
      </c>
      <c r="G600" s="14">
        <v>-7738423</v>
      </c>
      <c r="H600" s="2"/>
      <c r="I600" s="19"/>
      <c r="J600" s="14">
        <v>0</v>
      </c>
      <c r="K600" s="2"/>
      <c r="L600" s="19"/>
      <c r="M600" s="14">
        <v>0</v>
      </c>
      <c r="N600" s="2"/>
      <c r="O600" s="14">
        <v>-7738423</v>
      </c>
      <c r="P600" s="56">
        <v>461.01</v>
      </c>
      <c r="Q600" s="14">
        <v>-6838115</v>
      </c>
      <c r="R600" s="2"/>
      <c r="S600" s="44">
        <f>[1]!DDIFF(-6838115,-7738423)</f>
        <v>-900308</v>
      </c>
      <c r="T600" s="2"/>
      <c r="U600" s="1"/>
      <c r="V600" s="62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</row>
    <row r="601" spans="1:67" hidden="1" x14ac:dyDescent="0.25">
      <c r="A601" t="s">
        <v>1280</v>
      </c>
      <c r="E601" s="42" t="s">
        <v>1281</v>
      </c>
      <c r="F601" s="43" t="s">
        <v>1282</v>
      </c>
      <c r="G601" s="14">
        <v>0</v>
      </c>
      <c r="H601" s="2"/>
      <c r="I601" s="19"/>
      <c r="J601" s="14">
        <v>0</v>
      </c>
      <c r="K601" s="2"/>
      <c r="L601" s="19"/>
      <c r="M601" s="14">
        <v>0</v>
      </c>
      <c r="N601" s="2"/>
      <c r="O601" s="14">
        <v>0</v>
      </c>
      <c r="P601" s="2"/>
      <c r="Q601" s="14">
        <v>0</v>
      </c>
      <c r="R601" s="2"/>
      <c r="S601" s="44">
        <f>[1]!DDIFF(0,0)</f>
        <v>0</v>
      </c>
      <c r="T601" s="2"/>
      <c r="U601" s="1"/>
      <c r="V601" s="62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</row>
    <row r="602" spans="1:67" x14ac:dyDescent="0.25">
      <c r="A602" t="s">
        <v>1283</v>
      </c>
      <c r="E602" s="45" t="s">
        <v>2564</v>
      </c>
      <c r="F602" s="46" t="s">
        <v>1271</v>
      </c>
      <c r="G602" s="15">
        <v>-9476681</v>
      </c>
      <c r="H602" s="3"/>
      <c r="I602" s="20"/>
      <c r="J602" s="15">
        <v>446</v>
      </c>
      <c r="K602" s="3"/>
      <c r="L602" s="20"/>
      <c r="M602" s="15">
        <v>0</v>
      </c>
      <c r="N602" s="3"/>
      <c r="O602" s="15">
        <v>-9476235</v>
      </c>
      <c r="P602" s="3"/>
      <c r="Q602" s="15">
        <v>-8279940</v>
      </c>
      <c r="R602" s="3"/>
      <c r="S602" s="47">
        <f>[1]!DDIFF(-8279940,-9476235)</f>
        <v>-1196295</v>
      </c>
      <c r="T602" s="3"/>
      <c r="U602" s="1"/>
      <c r="V602" s="62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</row>
    <row r="603" spans="1:67" x14ac:dyDescent="0.25">
      <c r="A603" t="s">
        <v>1285</v>
      </c>
      <c r="H603" s="1"/>
      <c r="K603" s="1"/>
      <c r="N603" s="1"/>
      <c r="P603" s="1"/>
      <c r="R603" s="1"/>
      <c r="T603" s="1"/>
      <c r="U603" s="1"/>
      <c r="V603" s="62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</row>
    <row r="604" spans="1:67" x14ac:dyDescent="0.25">
      <c r="A604" t="s">
        <v>1301</v>
      </c>
      <c r="E604" s="40" t="s">
        <v>2567</v>
      </c>
      <c r="F604" s="41" t="s">
        <v>1302</v>
      </c>
      <c r="H604" s="1"/>
      <c r="K604" s="1"/>
      <c r="N604" s="1"/>
      <c r="P604" s="1"/>
      <c r="R604" s="1"/>
      <c r="T604" s="1"/>
      <c r="U604" s="1"/>
      <c r="V604" s="62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</row>
    <row r="605" spans="1:67" x14ac:dyDescent="0.25">
      <c r="A605" t="s">
        <v>1303</v>
      </c>
      <c r="E605" s="42" t="s">
        <v>1304</v>
      </c>
      <c r="F605" s="43" t="s">
        <v>1305</v>
      </c>
      <c r="G605" s="14">
        <v>-3700</v>
      </c>
      <c r="H605" s="2"/>
      <c r="I605" s="19"/>
      <c r="J605" s="14">
        <v>0</v>
      </c>
      <c r="K605" s="2"/>
      <c r="L605" s="19"/>
      <c r="M605" s="14">
        <v>0</v>
      </c>
      <c r="N605" s="2"/>
      <c r="O605" s="14">
        <v>-3700</v>
      </c>
      <c r="P605" s="56">
        <v>471</v>
      </c>
      <c r="Q605" s="14">
        <v>-5500</v>
      </c>
      <c r="R605" s="2"/>
      <c r="S605" s="44">
        <f>[1]!DDIFF(-5500,-3700)</f>
        <v>1800</v>
      </c>
      <c r="T605" s="2"/>
      <c r="U605" s="1"/>
      <c r="V605" s="62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</row>
    <row r="606" spans="1:67" x14ac:dyDescent="0.25">
      <c r="A606" t="s">
        <v>1306</v>
      </c>
      <c r="E606" s="45" t="s">
        <v>2568</v>
      </c>
      <c r="F606" s="46" t="s">
        <v>1302</v>
      </c>
      <c r="G606" s="15">
        <v>-3700</v>
      </c>
      <c r="H606" s="3"/>
      <c r="I606" s="20"/>
      <c r="J606" s="15">
        <v>0</v>
      </c>
      <c r="K606" s="3"/>
      <c r="L606" s="20"/>
      <c r="M606" s="15">
        <v>0</v>
      </c>
      <c r="N606" s="3"/>
      <c r="O606" s="15">
        <v>-3700</v>
      </c>
      <c r="P606" s="3"/>
      <c r="Q606" s="15">
        <v>-5500</v>
      </c>
      <c r="R606" s="3"/>
      <c r="S606" s="47">
        <f>[1]!DDIFF(-5500,-3700)</f>
        <v>1800</v>
      </c>
      <c r="T606" s="3"/>
      <c r="U606" s="1"/>
      <c r="V606" s="62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</row>
    <row r="607" spans="1:67" x14ac:dyDescent="0.25">
      <c r="A607" t="s">
        <v>1307</v>
      </c>
      <c r="H607" s="1"/>
      <c r="K607" s="1"/>
      <c r="N607" s="1"/>
      <c r="P607" s="1"/>
      <c r="R607" s="1"/>
      <c r="T607" s="1"/>
      <c r="U607" s="1"/>
      <c r="V607" s="62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</row>
    <row r="608" spans="1:67" x14ac:dyDescent="0.25">
      <c r="A608" t="s">
        <v>1286</v>
      </c>
      <c r="E608" s="40" t="s">
        <v>2565</v>
      </c>
      <c r="F608" s="41" t="s">
        <v>1287</v>
      </c>
      <c r="H608" s="1"/>
      <c r="K608" s="1"/>
      <c r="N608" s="1"/>
      <c r="P608" s="1"/>
      <c r="R608" s="1"/>
      <c r="T608" s="1"/>
      <c r="U608" s="1"/>
      <c r="V608" s="62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</row>
    <row r="609" spans="1:67" hidden="1" x14ac:dyDescent="0.25">
      <c r="A609" t="s">
        <v>1288</v>
      </c>
      <c r="E609" s="42" t="s">
        <v>1289</v>
      </c>
      <c r="F609" s="43" t="s">
        <v>1290</v>
      </c>
      <c r="G609" s="14">
        <v>0</v>
      </c>
      <c r="H609" s="2"/>
      <c r="I609" s="19"/>
      <c r="J609" s="14">
        <v>0</v>
      </c>
      <c r="K609" s="2"/>
      <c r="L609" s="19"/>
      <c r="M609" s="14">
        <v>0</v>
      </c>
      <c r="N609" s="2"/>
      <c r="O609" s="14">
        <v>0</v>
      </c>
      <c r="P609" s="2"/>
      <c r="Q609" s="14">
        <v>0</v>
      </c>
      <c r="R609" s="2"/>
      <c r="S609" s="44">
        <f>[1]!DDIFF(0,0)</f>
        <v>0</v>
      </c>
      <c r="T609" s="2"/>
      <c r="U609" s="1"/>
      <c r="V609" s="62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</row>
    <row r="610" spans="1:67" x14ac:dyDescent="0.25">
      <c r="A610" t="s">
        <v>1291</v>
      </c>
      <c r="E610" s="42" t="s">
        <v>1292</v>
      </c>
      <c r="F610" s="43" t="s">
        <v>1293</v>
      </c>
      <c r="G610" s="14">
        <v>-7100</v>
      </c>
      <c r="H610" s="2"/>
      <c r="I610" s="19"/>
      <c r="J610" s="14">
        <v>0</v>
      </c>
      <c r="K610" s="2"/>
      <c r="L610" s="19"/>
      <c r="M610" s="14">
        <v>0</v>
      </c>
      <c r="N610" s="2"/>
      <c r="O610" s="14">
        <v>-7100</v>
      </c>
      <c r="P610" s="57" t="s">
        <v>2868</v>
      </c>
      <c r="Q610" s="14">
        <v>0</v>
      </c>
      <c r="R610" s="2"/>
      <c r="S610" s="44">
        <f>[1]!DDIFF(0,-7100)</f>
        <v>-7100</v>
      </c>
      <c r="T610" s="2"/>
      <c r="U610" s="57" t="s">
        <v>2868</v>
      </c>
      <c r="V610" s="62">
        <f>+O610+O611+O612+O722+O723</f>
        <v>-111150</v>
      </c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</row>
    <row r="611" spans="1:67" x14ac:dyDescent="0.25">
      <c r="A611" t="s">
        <v>1294</v>
      </c>
      <c r="E611" s="42" t="s">
        <v>1295</v>
      </c>
      <c r="F611" s="43" t="s">
        <v>1296</v>
      </c>
      <c r="G611" s="14">
        <v>0</v>
      </c>
      <c r="H611" s="2"/>
      <c r="I611" s="19"/>
      <c r="J611" s="14">
        <v>0</v>
      </c>
      <c r="K611" s="2"/>
      <c r="L611" s="19"/>
      <c r="M611" s="14">
        <v>0</v>
      </c>
      <c r="N611" s="2"/>
      <c r="O611" s="14">
        <v>0</v>
      </c>
      <c r="P611" s="57" t="s">
        <v>2868</v>
      </c>
      <c r="Q611" s="14">
        <v>-33600</v>
      </c>
      <c r="R611" s="2"/>
      <c r="S611" s="44">
        <f>[1]!DDIFF(-33600,0)</f>
        <v>33600</v>
      </c>
      <c r="T611" s="2"/>
      <c r="U611" s="1"/>
      <c r="V611" s="62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</row>
    <row r="612" spans="1:67" collapsed="1" x14ac:dyDescent="0.25">
      <c r="A612" t="s">
        <v>1297</v>
      </c>
      <c r="E612" s="42" t="s">
        <v>1298</v>
      </c>
      <c r="F612" s="43" t="s">
        <v>1290</v>
      </c>
      <c r="G612" s="14">
        <v>-22550</v>
      </c>
      <c r="H612" s="2"/>
      <c r="I612" s="19"/>
      <c r="J612" s="14">
        <v>1800</v>
      </c>
      <c r="K612" s="2"/>
      <c r="L612" s="19"/>
      <c r="M612" s="14">
        <v>0</v>
      </c>
      <c r="N612" s="2"/>
      <c r="O612" s="14">
        <v>-20750</v>
      </c>
      <c r="P612" s="57" t="s">
        <v>2868</v>
      </c>
      <c r="Q612" s="14">
        <v>-29700</v>
      </c>
      <c r="R612" s="2"/>
      <c r="S612" s="44">
        <f>[1]!DDIFF(-29700,-20750)</f>
        <v>8950</v>
      </c>
      <c r="T612" s="2"/>
      <c r="U612" s="1"/>
      <c r="V612" s="62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</row>
    <row r="613" spans="1:67" hidden="1" outlineLevel="1" x14ac:dyDescent="0.25">
      <c r="A613" t="s">
        <v>2822</v>
      </c>
      <c r="E613" s="7"/>
      <c r="F613" s="10"/>
      <c r="G613" s="14"/>
      <c r="H613" s="2"/>
      <c r="I613" s="54" t="s">
        <v>2816</v>
      </c>
      <c r="J613" s="14">
        <v>1800</v>
      </c>
      <c r="K613" s="2"/>
      <c r="L613" s="19"/>
      <c r="M613" s="14"/>
      <c r="N613" s="2"/>
      <c r="O613" s="14"/>
      <c r="P613" s="2"/>
      <c r="Q613" s="14"/>
      <c r="R613" s="2"/>
      <c r="S613" s="14"/>
      <c r="T613" s="2"/>
      <c r="U613" s="1"/>
      <c r="V613" s="62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</row>
    <row r="614" spans="1:67" x14ac:dyDescent="0.25">
      <c r="A614" t="s">
        <v>1299</v>
      </c>
      <c r="E614" s="45" t="s">
        <v>2566</v>
      </c>
      <c r="F614" s="46" t="s">
        <v>1287</v>
      </c>
      <c r="G614" s="15">
        <v>-29650</v>
      </c>
      <c r="H614" s="3"/>
      <c r="I614" s="20"/>
      <c r="J614" s="15">
        <v>1800</v>
      </c>
      <c r="K614" s="3"/>
      <c r="L614" s="20"/>
      <c r="M614" s="15">
        <v>0</v>
      </c>
      <c r="N614" s="3"/>
      <c r="O614" s="15">
        <v>-27850</v>
      </c>
      <c r="P614" s="3"/>
      <c r="Q614" s="15">
        <v>-63300</v>
      </c>
      <c r="R614" s="3"/>
      <c r="S614" s="47">
        <f>[1]!DDIFF(-63300,-27850)</f>
        <v>35450</v>
      </c>
      <c r="T614" s="3"/>
      <c r="U614" s="1"/>
      <c r="V614" s="62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</row>
    <row r="615" spans="1:67" x14ac:dyDescent="0.25">
      <c r="A615" t="s">
        <v>1300</v>
      </c>
      <c r="H615" s="1"/>
      <c r="K615" s="1"/>
      <c r="N615" s="1"/>
      <c r="P615" s="1"/>
      <c r="R615" s="1"/>
      <c r="T615" s="1"/>
      <c r="U615" s="1"/>
      <c r="V615" s="60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</row>
    <row r="616" spans="1:67" hidden="1" x14ac:dyDescent="0.25">
      <c r="A616" t="s">
        <v>1308</v>
      </c>
      <c r="E616" s="40" t="s">
        <v>2569</v>
      </c>
      <c r="F616" s="41" t="s">
        <v>1309</v>
      </c>
      <c r="H616" s="1"/>
      <c r="K616" s="1"/>
      <c r="N616" s="1"/>
      <c r="P616" s="1"/>
      <c r="R616" s="1"/>
      <c r="T616" s="1"/>
      <c r="U616" s="1"/>
      <c r="V616" s="62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</row>
    <row r="617" spans="1:67" hidden="1" x14ac:dyDescent="0.25">
      <c r="A617" t="s">
        <v>1310</v>
      </c>
      <c r="E617" s="42" t="s">
        <v>1311</v>
      </c>
      <c r="F617" s="43" t="s">
        <v>1312</v>
      </c>
      <c r="G617" s="14">
        <v>0</v>
      </c>
      <c r="H617" s="2"/>
      <c r="I617" s="19"/>
      <c r="J617" s="14">
        <v>0</v>
      </c>
      <c r="K617" s="2"/>
      <c r="L617" s="19"/>
      <c r="M617" s="14">
        <v>0</v>
      </c>
      <c r="N617" s="2"/>
      <c r="O617" s="14">
        <v>0</v>
      </c>
      <c r="P617" s="2"/>
      <c r="Q617" s="14">
        <v>0</v>
      </c>
      <c r="R617" s="2"/>
      <c r="S617" s="44">
        <f>[1]!DDIFF(0,0)</f>
        <v>0</v>
      </c>
      <c r="T617" s="2"/>
      <c r="U617" s="1"/>
      <c r="V617" s="62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</row>
    <row r="618" spans="1:67" hidden="1" x14ac:dyDescent="0.25">
      <c r="A618" t="s">
        <v>1313</v>
      </c>
      <c r="E618" s="42" t="s">
        <v>1314</v>
      </c>
      <c r="F618" s="43" t="s">
        <v>1315</v>
      </c>
      <c r="G618" s="14">
        <v>0</v>
      </c>
      <c r="H618" s="2"/>
      <c r="I618" s="19"/>
      <c r="J618" s="14">
        <v>0</v>
      </c>
      <c r="K618" s="2"/>
      <c r="L618" s="19"/>
      <c r="M618" s="14">
        <v>0</v>
      </c>
      <c r="N618" s="2"/>
      <c r="O618" s="14">
        <v>0</v>
      </c>
      <c r="P618" s="2"/>
      <c r="Q618" s="14">
        <v>0</v>
      </c>
      <c r="R618" s="2"/>
      <c r="S618" s="44">
        <f>[1]!DDIFF(0,0)</f>
        <v>0</v>
      </c>
      <c r="T618" s="2"/>
      <c r="U618" s="1"/>
      <c r="V618" s="62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</row>
    <row r="619" spans="1:67" hidden="1" x14ac:dyDescent="0.25">
      <c r="A619" t="s">
        <v>1316</v>
      </c>
      <c r="E619" s="42" t="s">
        <v>1317</v>
      </c>
      <c r="F619" s="43" t="s">
        <v>1318</v>
      </c>
      <c r="G619" s="14">
        <v>0</v>
      </c>
      <c r="H619" s="2"/>
      <c r="I619" s="19"/>
      <c r="J619" s="14">
        <v>0</v>
      </c>
      <c r="K619" s="2"/>
      <c r="L619" s="19"/>
      <c r="M619" s="14">
        <v>0</v>
      </c>
      <c r="N619" s="2"/>
      <c r="O619" s="14">
        <v>0</v>
      </c>
      <c r="P619" s="2"/>
      <c r="Q619" s="14">
        <v>0</v>
      </c>
      <c r="R619" s="2"/>
      <c r="S619" s="44">
        <f>[1]!DDIFF(0,0)</f>
        <v>0</v>
      </c>
      <c r="T619" s="2"/>
      <c r="U619" s="1"/>
      <c r="V619" s="62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</row>
    <row r="620" spans="1:67" hidden="1" x14ac:dyDescent="0.25">
      <c r="A620" t="s">
        <v>1319</v>
      </c>
      <c r="E620" s="42" t="s">
        <v>1320</v>
      </c>
      <c r="F620" s="43" t="s">
        <v>1321</v>
      </c>
      <c r="G620" s="14">
        <v>0</v>
      </c>
      <c r="H620" s="2"/>
      <c r="I620" s="19"/>
      <c r="J620" s="14">
        <v>0</v>
      </c>
      <c r="K620" s="2"/>
      <c r="L620" s="19"/>
      <c r="M620" s="14">
        <v>0</v>
      </c>
      <c r="N620" s="2"/>
      <c r="O620" s="14">
        <v>0</v>
      </c>
      <c r="P620" s="2"/>
      <c r="Q620" s="14">
        <v>0</v>
      </c>
      <c r="R620" s="2"/>
      <c r="S620" s="44">
        <f>[1]!DDIFF(0,0)</f>
        <v>0</v>
      </c>
      <c r="T620" s="2"/>
      <c r="U620" s="1"/>
      <c r="V620" s="62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</row>
    <row r="621" spans="1:67" hidden="1" x14ac:dyDescent="0.25">
      <c r="A621" t="s">
        <v>1322</v>
      </c>
      <c r="E621" s="42" t="s">
        <v>1323</v>
      </c>
      <c r="F621" s="43" t="s">
        <v>1324</v>
      </c>
      <c r="G621" s="14">
        <v>0</v>
      </c>
      <c r="H621" s="2"/>
      <c r="I621" s="19"/>
      <c r="J621" s="14">
        <v>0</v>
      </c>
      <c r="K621" s="2"/>
      <c r="L621" s="19"/>
      <c r="M621" s="14">
        <v>0</v>
      </c>
      <c r="N621" s="2"/>
      <c r="O621" s="14">
        <v>0</v>
      </c>
      <c r="P621" s="2"/>
      <c r="Q621" s="14">
        <v>0</v>
      </c>
      <c r="R621" s="2"/>
      <c r="S621" s="44">
        <f>[1]!DDIFF(0,0)</f>
        <v>0</v>
      </c>
      <c r="T621" s="2"/>
      <c r="U621" s="1"/>
      <c r="V621" s="62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</row>
    <row r="622" spans="1:67" hidden="1" x14ac:dyDescent="0.25">
      <c r="A622" t="s">
        <v>1325</v>
      </c>
      <c r="E622" s="42" t="s">
        <v>1326</v>
      </c>
      <c r="F622" s="43" t="s">
        <v>1327</v>
      </c>
      <c r="G622" s="14">
        <v>0</v>
      </c>
      <c r="H622" s="2"/>
      <c r="I622" s="19"/>
      <c r="J622" s="14">
        <v>0</v>
      </c>
      <c r="K622" s="2"/>
      <c r="L622" s="19"/>
      <c r="M622" s="14">
        <v>0</v>
      </c>
      <c r="N622" s="2"/>
      <c r="O622" s="14">
        <v>0</v>
      </c>
      <c r="P622" s="2"/>
      <c r="Q622" s="14">
        <v>0</v>
      </c>
      <c r="R622" s="2"/>
      <c r="S622" s="44">
        <f>[1]!DDIFF(0,0)</f>
        <v>0</v>
      </c>
      <c r="T622" s="2"/>
      <c r="U622" s="1"/>
      <c r="V622" s="62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</row>
    <row r="623" spans="1:67" hidden="1" x14ac:dyDescent="0.25">
      <c r="A623" t="s">
        <v>1328</v>
      </c>
      <c r="E623" s="42" t="s">
        <v>1329</v>
      </c>
      <c r="F623" s="43" t="s">
        <v>1330</v>
      </c>
      <c r="G623" s="14">
        <v>0</v>
      </c>
      <c r="H623" s="2"/>
      <c r="I623" s="19"/>
      <c r="J623" s="14">
        <v>0</v>
      </c>
      <c r="K623" s="2"/>
      <c r="L623" s="19"/>
      <c r="M623" s="14">
        <v>0</v>
      </c>
      <c r="N623" s="2"/>
      <c r="O623" s="14">
        <v>0</v>
      </c>
      <c r="P623" s="2"/>
      <c r="Q623" s="14">
        <v>0</v>
      </c>
      <c r="R623" s="2"/>
      <c r="S623" s="44">
        <f>[1]!DDIFF(0,0)</f>
        <v>0</v>
      </c>
      <c r="T623" s="2"/>
      <c r="U623" s="1"/>
      <c r="V623" s="62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</row>
    <row r="624" spans="1:67" hidden="1" x14ac:dyDescent="0.25">
      <c r="A624" t="s">
        <v>1331</v>
      </c>
      <c r="E624" s="42" t="s">
        <v>1332</v>
      </c>
      <c r="F624" s="43" t="s">
        <v>1333</v>
      </c>
      <c r="G624" s="14">
        <v>0</v>
      </c>
      <c r="H624" s="2"/>
      <c r="I624" s="19"/>
      <c r="J624" s="14">
        <v>0</v>
      </c>
      <c r="K624" s="2"/>
      <c r="L624" s="19"/>
      <c r="M624" s="14">
        <v>0</v>
      </c>
      <c r="N624" s="2"/>
      <c r="O624" s="14">
        <v>0</v>
      </c>
      <c r="P624" s="2"/>
      <c r="Q624" s="14">
        <v>0</v>
      </c>
      <c r="R624" s="2"/>
      <c r="S624" s="44">
        <f>[1]!DDIFF(0,0)</f>
        <v>0</v>
      </c>
      <c r="T624" s="2"/>
      <c r="U624" s="1"/>
      <c r="V624" s="62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</row>
    <row r="625" spans="1:67" hidden="1" x14ac:dyDescent="0.25">
      <c r="A625" t="s">
        <v>1334</v>
      </c>
      <c r="E625" s="42" t="s">
        <v>1335</v>
      </c>
      <c r="F625" s="43" t="s">
        <v>1336</v>
      </c>
      <c r="G625" s="14">
        <v>0</v>
      </c>
      <c r="H625" s="2"/>
      <c r="I625" s="19"/>
      <c r="J625" s="14">
        <v>0</v>
      </c>
      <c r="K625" s="2"/>
      <c r="L625" s="19"/>
      <c r="M625" s="14">
        <v>0</v>
      </c>
      <c r="N625" s="2"/>
      <c r="O625" s="14">
        <v>0</v>
      </c>
      <c r="P625" s="2"/>
      <c r="Q625" s="14">
        <v>0</v>
      </c>
      <c r="R625" s="2"/>
      <c r="S625" s="44">
        <f>[1]!DDIFF(0,0)</f>
        <v>0</v>
      </c>
      <c r="T625" s="2"/>
      <c r="U625" s="1"/>
      <c r="V625" s="62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</row>
    <row r="626" spans="1:67" hidden="1" x14ac:dyDescent="0.25">
      <c r="A626" t="s">
        <v>1337</v>
      </c>
      <c r="E626" s="42" t="s">
        <v>1338</v>
      </c>
      <c r="F626" s="43" t="s">
        <v>1339</v>
      </c>
      <c r="G626" s="14">
        <v>0</v>
      </c>
      <c r="H626" s="2"/>
      <c r="I626" s="19"/>
      <c r="J626" s="14">
        <v>0</v>
      </c>
      <c r="K626" s="2"/>
      <c r="L626" s="19"/>
      <c r="M626" s="14">
        <v>0</v>
      </c>
      <c r="N626" s="2"/>
      <c r="O626" s="14">
        <v>0</v>
      </c>
      <c r="P626" s="2"/>
      <c r="Q626" s="14">
        <v>0</v>
      </c>
      <c r="R626" s="2"/>
      <c r="S626" s="44">
        <f>[1]!DDIFF(0,0)</f>
        <v>0</v>
      </c>
      <c r="T626" s="2"/>
      <c r="U626" s="1"/>
      <c r="V626" s="62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</row>
    <row r="627" spans="1:67" hidden="1" x14ac:dyDescent="0.25">
      <c r="A627" t="s">
        <v>1340</v>
      </c>
      <c r="E627" s="42" t="s">
        <v>1341</v>
      </c>
      <c r="F627" s="43" t="s">
        <v>1342</v>
      </c>
      <c r="G627" s="14">
        <v>0</v>
      </c>
      <c r="H627" s="2"/>
      <c r="I627" s="19"/>
      <c r="J627" s="14">
        <v>0</v>
      </c>
      <c r="K627" s="2"/>
      <c r="L627" s="19"/>
      <c r="M627" s="14">
        <v>0</v>
      </c>
      <c r="N627" s="2"/>
      <c r="O627" s="14">
        <v>0</v>
      </c>
      <c r="P627" s="2"/>
      <c r="Q627" s="14">
        <v>0</v>
      </c>
      <c r="R627" s="2"/>
      <c r="S627" s="44">
        <f>[1]!DDIFF(0,0)</f>
        <v>0</v>
      </c>
      <c r="T627" s="2"/>
      <c r="U627" s="1"/>
      <c r="V627" s="62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</row>
    <row r="628" spans="1:67" hidden="1" x14ac:dyDescent="0.25">
      <c r="A628" t="s">
        <v>1343</v>
      </c>
      <c r="E628" s="42" t="s">
        <v>1344</v>
      </c>
      <c r="F628" s="43" t="s">
        <v>1345</v>
      </c>
      <c r="G628" s="14">
        <v>0</v>
      </c>
      <c r="H628" s="2"/>
      <c r="I628" s="19"/>
      <c r="J628" s="14">
        <v>0</v>
      </c>
      <c r="K628" s="2"/>
      <c r="L628" s="19"/>
      <c r="M628" s="14">
        <v>0</v>
      </c>
      <c r="N628" s="2"/>
      <c r="O628" s="14">
        <v>0</v>
      </c>
      <c r="P628" s="2"/>
      <c r="Q628" s="14">
        <v>0</v>
      </c>
      <c r="R628" s="2"/>
      <c r="S628" s="44">
        <f>[1]!DDIFF(0,0)</f>
        <v>0</v>
      </c>
      <c r="T628" s="2"/>
      <c r="U628" s="1"/>
      <c r="V628" s="62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</row>
    <row r="629" spans="1:67" hidden="1" x14ac:dyDescent="0.25">
      <c r="A629" t="s">
        <v>1346</v>
      </c>
      <c r="E629" s="42" t="s">
        <v>1347</v>
      </c>
      <c r="F629" s="43" t="s">
        <v>1348</v>
      </c>
      <c r="G629" s="14">
        <v>0</v>
      </c>
      <c r="H629" s="2"/>
      <c r="I629" s="19"/>
      <c r="J629" s="14">
        <v>0</v>
      </c>
      <c r="K629" s="2"/>
      <c r="L629" s="19"/>
      <c r="M629" s="14">
        <v>0</v>
      </c>
      <c r="N629" s="2"/>
      <c r="O629" s="14">
        <v>0</v>
      </c>
      <c r="P629" s="2"/>
      <c r="Q629" s="14">
        <v>0</v>
      </c>
      <c r="R629" s="2"/>
      <c r="S629" s="44">
        <f>[1]!DDIFF(0,0)</f>
        <v>0</v>
      </c>
      <c r="T629" s="2"/>
      <c r="U629" s="1"/>
      <c r="V629" s="62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</row>
    <row r="630" spans="1:67" hidden="1" x14ac:dyDescent="0.25">
      <c r="A630" t="s">
        <v>1349</v>
      </c>
      <c r="E630" s="42" t="s">
        <v>1350</v>
      </c>
      <c r="F630" s="43" t="s">
        <v>1351</v>
      </c>
      <c r="G630" s="14">
        <v>0</v>
      </c>
      <c r="H630" s="2"/>
      <c r="I630" s="19"/>
      <c r="J630" s="14">
        <v>0</v>
      </c>
      <c r="K630" s="2"/>
      <c r="L630" s="19"/>
      <c r="M630" s="14">
        <v>0</v>
      </c>
      <c r="N630" s="2"/>
      <c r="O630" s="14">
        <v>0</v>
      </c>
      <c r="P630" s="2"/>
      <c r="Q630" s="14">
        <v>0</v>
      </c>
      <c r="R630" s="2"/>
      <c r="S630" s="44">
        <f>[1]!DDIFF(0,0)</f>
        <v>0</v>
      </c>
      <c r="T630" s="2"/>
      <c r="U630" s="1"/>
      <c r="V630" s="62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</row>
    <row r="631" spans="1:67" hidden="1" x14ac:dyDescent="0.25">
      <c r="A631" t="s">
        <v>1352</v>
      </c>
      <c r="E631" s="42" t="s">
        <v>1353</v>
      </c>
      <c r="F631" s="43" t="s">
        <v>1354</v>
      </c>
      <c r="G631" s="14">
        <v>0</v>
      </c>
      <c r="H631" s="2"/>
      <c r="I631" s="19"/>
      <c r="J631" s="14">
        <v>0</v>
      </c>
      <c r="K631" s="2"/>
      <c r="L631" s="19"/>
      <c r="M631" s="14">
        <v>0</v>
      </c>
      <c r="N631" s="2"/>
      <c r="O631" s="14">
        <v>0</v>
      </c>
      <c r="P631" s="2"/>
      <c r="Q631" s="14">
        <v>0</v>
      </c>
      <c r="R631" s="2"/>
      <c r="S631" s="44">
        <f>[1]!DDIFF(0,0)</f>
        <v>0</v>
      </c>
      <c r="T631" s="2"/>
      <c r="U631" s="1"/>
      <c r="V631" s="62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</row>
    <row r="632" spans="1:67" hidden="1" x14ac:dyDescent="0.25">
      <c r="A632" t="s">
        <v>1355</v>
      </c>
      <c r="E632" s="42" t="s">
        <v>1356</v>
      </c>
      <c r="F632" s="43" t="s">
        <v>1357</v>
      </c>
      <c r="G632" s="14">
        <v>0</v>
      </c>
      <c r="H632" s="2"/>
      <c r="I632" s="19"/>
      <c r="J632" s="14">
        <v>0</v>
      </c>
      <c r="K632" s="2"/>
      <c r="L632" s="19"/>
      <c r="M632" s="14">
        <v>0</v>
      </c>
      <c r="N632" s="2"/>
      <c r="O632" s="14">
        <v>0</v>
      </c>
      <c r="P632" s="2"/>
      <c r="Q632" s="14">
        <v>0</v>
      </c>
      <c r="R632" s="2"/>
      <c r="S632" s="44">
        <f>[1]!DDIFF(0,0)</f>
        <v>0</v>
      </c>
      <c r="T632" s="2"/>
      <c r="U632" s="1"/>
      <c r="V632" s="62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</row>
    <row r="633" spans="1:67" hidden="1" x14ac:dyDescent="0.25">
      <c r="A633" t="s">
        <v>1358</v>
      </c>
      <c r="E633" s="42" t="s">
        <v>1359</v>
      </c>
      <c r="F633" s="43" t="s">
        <v>1360</v>
      </c>
      <c r="G633" s="14">
        <v>0</v>
      </c>
      <c r="H633" s="2"/>
      <c r="I633" s="19"/>
      <c r="J633" s="14">
        <v>0</v>
      </c>
      <c r="K633" s="2"/>
      <c r="L633" s="19"/>
      <c r="M633" s="14">
        <v>0</v>
      </c>
      <c r="N633" s="2"/>
      <c r="O633" s="14">
        <v>0</v>
      </c>
      <c r="P633" s="2"/>
      <c r="Q633" s="14">
        <v>0</v>
      </c>
      <c r="R633" s="2"/>
      <c r="S633" s="44">
        <f>[1]!DDIFF(0,0)</f>
        <v>0</v>
      </c>
      <c r="T633" s="2"/>
      <c r="U633" s="1"/>
      <c r="V633" s="62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</row>
    <row r="634" spans="1:67" hidden="1" x14ac:dyDescent="0.25">
      <c r="A634" t="s">
        <v>1361</v>
      </c>
      <c r="E634" s="42" t="s">
        <v>1362</v>
      </c>
      <c r="F634" s="43" t="s">
        <v>1363</v>
      </c>
      <c r="G634" s="14">
        <v>0</v>
      </c>
      <c r="H634" s="2"/>
      <c r="I634" s="19"/>
      <c r="J634" s="14">
        <v>0</v>
      </c>
      <c r="K634" s="2"/>
      <c r="L634" s="19"/>
      <c r="M634" s="14">
        <v>0</v>
      </c>
      <c r="N634" s="2"/>
      <c r="O634" s="14">
        <v>0</v>
      </c>
      <c r="P634" s="2"/>
      <c r="Q634" s="14">
        <v>0</v>
      </c>
      <c r="R634" s="2"/>
      <c r="S634" s="44">
        <f>[1]!DDIFF(0,0)</f>
        <v>0</v>
      </c>
      <c r="T634" s="2"/>
      <c r="U634" s="1"/>
      <c r="V634" s="62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</row>
    <row r="635" spans="1:67" hidden="1" x14ac:dyDescent="0.25">
      <c r="A635" t="s">
        <v>1364</v>
      </c>
      <c r="E635" s="42" t="s">
        <v>1365</v>
      </c>
      <c r="F635" s="43" t="s">
        <v>1366</v>
      </c>
      <c r="G635" s="14">
        <v>0</v>
      </c>
      <c r="H635" s="2"/>
      <c r="I635" s="19"/>
      <c r="J635" s="14">
        <v>0</v>
      </c>
      <c r="K635" s="2"/>
      <c r="L635" s="19"/>
      <c r="M635" s="14">
        <v>0</v>
      </c>
      <c r="N635" s="2"/>
      <c r="O635" s="14">
        <v>0</v>
      </c>
      <c r="P635" s="2"/>
      <c r="Q635" s="14">
        <v>0</v>
      </c>
      <c r="R635" s="2"/>
      <c r="S635" s="44">
        <f>[1]!DDIFF(0,0)</f>
        <v>0</v>
      </c>
      <c r="T635" s="2"/>
      <c r="U635" s="1"/>
      <c r="V635" s="62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</row>
    <row r="636" spans="1:67" hidden="1" x14ac:dyDescent="0.25">
      <c r="A636" t="s">
        <v>1367</v>
      </c>
      <c r="E636" s="42" t="s">
        <v>1368</v>
      </c>
      <c r="F636" s="43" t="s">
        <v>1369</v>
      </c>
      <c r="G636" s="14">
        <v>0</v>
      </c>
      <c r="H636" s="2"/>
      <c r="I636" s="19"/>
      <c r="J636" s="14">
        <v>0</v>
      </c>
      <c r="K636" s="2"/>
      <c r="L636" s="19"/>
      <c r="M636" s="14">
        <v>0</v>
      </c>
      <c r="N636" s="2"/>
      <c r="O636" s="14">
        <v>0</v>
      </c>
      <c r="P636" s="2"/>
      <c r="Q636" s="14">
        <v>0</v>
      </c>
      <c r="R636" s="2"/>
      <c r="S636" s="44">
        <f>[1]!DDIFF(0,0)</f>
        <v>0</v>
      </c>
      <c r="T636" s="2"/>
      <c r="U636" s="1"/>
      <c r="V636" s="62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</row>
    <row r="637" spans="1:67" hidden="1" x14ac:dyDescent="0.25">
      <c r="A637" t="s">
        <v>1370</v>
      </c>
      <c r="E637" s="42" t="s">
        <v>1371</v>
      </c>
      <c r="F637" s="43" t="s">
        <v>1372</v>
      </c>
      <c r="G637" s="14">
        <v>0</v>
      </c>
      <c r="H637" s="2"/>
      <c r="I637" s="19"/>
      <c r="J637" s="14">
        <v>0</v>
      </c>
      <c r="K637" s="2"/>
      <c r="L637" s="19"/>
      <c r="M637" s="14">
        <v>0</v>
      </c>
      <c r="N637" s="2"/>
      <c r="O637" s="14">
        <v>0</v>
      </c>
      <c r="P637" s="2"/>
      <c r="Q637" s="14">
        <v>0</v>
      </c>
      <c r="R637" s="2"/>
      <c r="S637" s="44">
        <f>[1]!DDIFF(0,0)</f>
        <v>0</v>
      </c>
      <c r="T637" s="2"/>
      <c r="U637" s="1"/>
      <c r="V637" s="62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</row>
    <row r="638" spans="1:67" hidden="1" x14ac:dyDescent="0.25">
      <c r="A638" t="s">
        <v>1373</v>
      </c>
      <c r="E638" s="42" t="s">
        <v>1374</v>
      </c>
      <c r="F638" s="43" t="s">
        <v>1375</v>
      </c>
      <c r="G638" s="14">
        <v>0</v>
      </c>
      <c r="H638" s="2"/>
      <c r="I638" s="19"/>
      <c r="J638" s="14">
        <v>0</v>
      </c>
      <c r="K638" s="2"/>
      <c r="L638" s="19"/>
      <c r="M638" s="14">
        <v>0</v>
      </c>
      <c r="N638" s="2"/>
      <c r="O638" s="14">
        <v>0</v>
      </c>
      <c r="P638" s="2"/>
      <c r="Q638" s="14">
        <v>0</v>
      </c>
      <c r="R638" s="2"/>
      <c r="S638" s="44">
        <f>[1]!DDIFF(0,0)</f>
        <v>0</v>
      </c>
      <c r="T638" s="2"/>
      <c r="U638" s="1"/>
      <c r="V638" s="62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</row>
    <row r="639" spans="1:67" hidden="1" x14ac:dyDescent="0.25">
      <c r="A639" t="s">
        <v>1376</v>
      </c>
      <c r="E639" s="42" t="s">
        <v>1377</v>
      </c>
      <c r="F639" s="43" t="s">
        <v>1378</v>
      </c>
      <c r="G639" s="14">
        <v>0</v>
      </c>
      <c r="H639" s="2"/>
      <c r="I639" s="19"/>
      <c r="J639" s="14">
        <v>0</v>
      </c>
      <c r="K639" s="2"/>
      <c r="L639" s="19"/>
      <c r="M639" s="14">
        <v>0</v>
      </c>
      <c r="N639" s="2"/>
      <c r="O639" s="14">
        <v>0</v>
      </c>
      <c r="P639" s="2"/>
      <c r="Q639" s="14">
        <v>0</v>
      </c>
      <c r="R639" s="2"/>
      <c r="S639" s="44">
        <f>[1]!DDIFF(0,0)</f>
        <v>0</v>
      </c>
      <c r="T639" s="2"/>
      <c r="U639" s="1"/>
      <c r="V639" s="62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</row>
    <row r="640" spans="1:67" hidden="1" x14ac:dyDescent="0.25">
      <c r="A640" t="s">
        <v>1379</v>
      </c>
      <c r="E640" s="42" t="s">
        <v>1380</v>
      </c>
      <c r="F640" s="43" t="s">
        <v>1381</v>
      </c>
      <c r="G640" s="14">
        <v>0</v>
      </c>
      <c r="H640" s="2"/>
      <c r="I640" s="19"/>
      <c r="J640" s="14">
        <v>0</v>
      </c>
      <c r="K640" s="2"/>
      <c r="L640" s="19"/>
      <c r="M640" s="14">
        <v>0</v>
      </c>
      <c r="N640" s="2"/>
      <c r="O640" s="14">
        <v>0</v>
      </c>
      <c r="P640" s="2"/>
      <c r="Q640" s="14">
        <v>0</v>
      </c>
      <c r="R640" s="2"/>
      <c r="S640" s="44">
        <f>[1]!DDIFF(0,0)</f>
        <v>0</v>
      </c>
      <c r="T640" s="2"/>
      <c r="U640" s="1"/>
      <c r="V640" s="62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</row>
    <row r="641" spans="1:67" hidden="1" x14ac:dyDescent="0.25">
      <c r="A641" t="s">
        <v>1382</v>
      </c>
      <c r="E641" s="45" t="s">
        <v>2570</v>
      </c>
      <c r="F641" s="46" t="s">
        <v>1309</v>
      </c>
      <c r="G641" s="15">
        <v>0</v>
      </c>
      <c r="H641" s="3"/>
      <c r="I641" s="20"/>
      <c r="J641" s="15">
        <v>0</v>
      </c>
      <c r="K641" s="3"/>
      <c r="L641" s="20"/>
      <c r="M641" s="15">
        <v>0</v>
      </c>
      <c r="N641" s="3"/>
      <c r="O641" s="15">
        <v>0</v>
      </c>
      <c r="P641" s="3"/>
      <c r="Q641" s="15">
        <v>0</v>
      </c>
      <c r="R641" s="3"/>
      <c r="S641" s="47">
        <f>[1]!DDIFF(0,0)</f>
        <v>0</v>
      </c>
      <c r="T641" s="3"/>
      <c r="U641" s="1"/>
      <c r="V641" s="62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</row>
    <row r="642" spans="1:67" hidden="1" x14ac:dyDescent="0.25">
      <c r="A642" t="s">
        <v>1383</v>
      </c>
      <c r="H642" s="1"/>
      <c r="K642" s="1"/>
      <c r="N642" s="1"/>
      <c r="P642" s="1"/>
      <c r="R642" s="1"/>
      <c r="T642" s="1"/>
      <c r="U642" s="1"/>
      <c r="V642" s="62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</row>
    <row r="643" spans="1:67" hidden="1" x14ac:dyDescent="0.25">
      <c r="A643" t="s">
        <v>1384</v>
      </c>
      <c r="E643" s="40" t="s">
        <v>2571</v>
      </c>
      <c r="F643" s="41" t="s">
        <v>1385</v>
      </c>
      <c r="H643" s="1"/>
      <c r="K643" s="1"/>
      <c r="N643" s="1"/>
      <c r="P643" s="1"/>
      <c r="R643" s="1"/>
      <c r="T643" s="1"/>
      <c r="U643" s="1"/>
      <c r="V643" s="62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</row>
    <row r="644" spans="1:67" hidden="1" x14ac:dyDescent="0.25">
      <c r="A644" t="s">
        <v>1386</v>
      </c>
      <c r="E644" s="42" t="s">
        <v>1387</v>
      </c>
      <c r="F644" s="43" t="s">
        <v>1388</v>
      </c>
      <c r="G644" s="14">
        <v>0</v>
      </c>
      <c r="H644" s="2"/>
      <c r="I644" s="19"/>
      <c r="J644" s="14">
        <v>0</v>
      </c>
      <c r="K644" s="2"/>
      <c r="L644" s="19"/>
      <c r="M644" s="14">
        <v>0</v>
      </c>
      <c r="N644" s="2"/>
      <c r="O644" s="14">
        <v>0</v>
      </c>
      <c r="P644" s="2"/>
      <c r="Q644" s="14">
        <v>0</v>
      </c>
      <c r="R644" s="2"/>
      <c r="S644" s="44">
        <f>[1]!DDIFF(0,0)</f>
        <v>0</v>
      </c>
      <c r="T644" s="2"/>
      <c r="U644" s="1"/>
      <c r="V644" s="62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</row>
    <row r="645" spans="1:67" hidden="1" x14ac:dyDescent="0.25">
      <c r="A645" t="s">
        <v>1389</v>
      </c>
      <c r="E645" s="42" t="s">
        <v>1390</v>
      </c>
      <c r="F645" s="43" t="s">
        <v>1391</v>
      </c>
      <c r="G645" s="14">
        <v>0</v>
      </c>
      <c r="H645" s="2"/>
      <c r="I645" s="19"/>
      <c r="J645" s="14">
        <v>0</v>
      </c>
      <c r="K645" s="2"/>
      <c r="L645" s="19"/>
      <c r="M645" s="14">
        <v>0</v>
      </c>
      <c r="N645" s="2"/>
      <c r="O645" s="14">
        <v>0</v>
      </c>
      <c r="P645" s="2"/>
      <c r="Q645" s="14">
        <v>0</v>
      </c>
      <c r="R645" s="2"/>
      <c r="S645" s="44">
        <f>[1]!DDIFF(0,0)</f>
        <v>0</v>
      </c>
      <c r="T645" s="2"/>
      <c r="U645" s="1"/>
      <c r="V645" s="62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</row>
    <row r="646" spans="1:67" hidden="1" x14ac:dyDescent="0.25">
      <c r="A646" t="s">
        <v>1392</v>
      </c>
      <c r="E646" s="42" t="s">
        <v>1393</v>
      </c>
      <c r="F646" s="43" t="s">
        <v>1394</v>
      </c>
      <c r="G646" s="14">
        <v>0</v>
      </c>
      <c r="H646" s="2"/>
      <c r="I646" s="19"/>
      <c r="J646" s="14">
        <v>0</v>
      </c>
      <c r="K646" s="2"/>
      <c r="L646" s="19"/>
      <c r="M646" s="14">
        <v>0</v>
      </c>
      <c r="N646" s="2"/>
      <c r="O646" s="14">
        <v>0</v>
      </c>
      <c r="P646" s="2"/>
      <c r="Q646" s="14">
        <v>0</v>
      </c>
      <c r="R646" s="2"/>
      <c r="S646" s="44">
        <f>[1]!DDIFF(0,0)</f>
        <v>0</v>
      </c>
      <c r="T646" s="2"/>
      <c r="U646" s="1"/>
      <c r="V646" s="62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</row>
    <row r="647" spans="1:67" hidden="1" x14ac:dyDescent="0.25">
      <c r="A647" t="s">
        <v>1395</v>
      </c>
      <c r="E647" s="42" t="s">
        <v>1396</v>
      </c>
      <c r="F647" s="43" t="s">
        <v>1397</v>
      </c>
      <c r="G647" s="14">
        <v>0</v>
      </c>
      <c r="H647" s="2"/>
      <c r="I647" s="19"/>
      <c r="J647" s="14">
        <v>0</v>
      </c>
      <c r="K647" s="2"/>
      <c r="L647" s="19"/>
      <c r="M647" s="14">
        <v>0</v>
      </c>
      <c r="N647" s="2"/>
      <c r="O647" s="14">
        <v>0</v>
      </c>
      <c r="P647" s="2"/>
      <c r="Q647" s="14">
        <v>0</v>
      </c>
      <c r="R647" s="2"/>
      <c r="S647" s="44">
        <f>[1]!DDIFF(0,0)</f>
        <v>0</v>
      </c>
      <c r="T647" s="2"/>
      <c r="U647" s="1"/>
      <c r="V647" s="62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</row>
    <row r="648" spans="1:67" hidden="1" x14ac:dyDescent="0.25">
      <c r="A648" t="s">
        <v>1398</v>
      </c>
      <c r="E648" s="42" t="s">
        <v>1399</v>
      </c>
      <c r="F648" s="43" t="s">
        <v>1400</v>
      </c>
      <c r="G648" s="14">
        <v>0</v>
      </c>
      <c r="H648" s="2"/>
      <c r="I648" s="19"/>
      <c r="J648" s="14">
        <v>0</v>
      </c>
      <c r="K648" s="2"/>
      <c r="L648" s="19"/>
      <c r="M648" s="14">
        <v>0</v>
      </c>
      <c r="N648" s="2"/>
      <c r="O648" s="14">
        <v>0</v>
      </c>
      <c r="P648" s="2"/>
      <c r="Q648" s="14">
        <v>0</v>
      </c>
      <c r="R648" s="2"/>
      <c r="S648" s="44">
        <f>[1]!DDIFF(0,0)</f>
        <v>0</v>
      </c>
      <c r="T648" s="2"/>
      <c r="U648" s="1"/>
      <c r="V648" s="62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</row>
    <row r="649" spans="1:67" hidden="1" x14ac:dyDescent="0.25">
      <c r="A649" t="s">
        <v>1401</v>
      </c>
      <c r="E649" s="42" t="s">
        <v>1402</v>
      </c>
      <c r="F649" s="43" t="s">
        <v>1403</v>
      </c>
      <c r="G649" s="14">
        <v>0</v>
      </c>
      <c r="H649" s="2"/>
      <c r="I649" s="19"/>
      <c r="J649" s="14">
        <v>0</v>
      </c>
      <c r="K649" s="2"/>
      <c r="L649" s="19"/>
      <c r="M649" s="14">
        <v>0</v>
      </c>
      <c r="N649" s="2"/>
      <c r="O649" s="14">
        <v>0</v>
      </c>
      <c r="P649" s="2"/>
      <c r="Q649" s="14">
        <v>0</v>
      </c>
      <c r="R649" s="2"/>
      <c r="S649" s="44">
        <f>[1]!DDIFF(0,0)</f>
        <v>0</v>
      </c>
      <c r="T649" s="2"/>
      <c r="U649" s="1"/>
      <c r="V649" s="62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</row>
    <row r="650" spans="1:67" hidden="1" x14ac:dyDescent="0.25">
      <c r="A650" t="s">
        <v>1404</v>
      </c>
      <c r="E650" s="42" t="s">
        <v>1405</v>
      </c>
      <c r="F650" s="43" t="s">
        <v>1406</v>
      </c>
      <c r="G650" s="14">
        <v>0</v>
      </c>
      <c r="H650" s="2"/>
      <c r="I650" s="19"/>
      <c r="J650" s="14">
        <v>0</v>
      </c>
      <c r="K650" s="2"/>
      <c r="L650" s="19"/>
      <c r="M650" s="14">
        <v>0</v>
      </c>
      <c r="N650" s="2"/>
      <c r="O650" s="14">
        <v>0</v>
      </c>
      <c r="P650" s="2"/>
      <c r="Q650" s="14">
        <v>0</v>
      </c>
      <c r="R650" s="2"/>
      <c r="S650" s="44">
        <f>[1]!DDIFF(0,0)</f>
        <v>0</v>
      </c>
      <c r="T650" s="2"/>
      <c r="U650" s="1"/>
      <c r="V650" s="62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</row>
    <row r="651" spans="1:67" hidden="1" x14ac:dyDescent="0.25">
      <c r="A651" t="s">
        <v>1407</v>
      </c>
      <c r="E651" s="42" t="s">
        <v>1408</v>
      </c>
      <c r="F651" s="43" t="s">
        <v>1409</v>
      </c>
      <c r="G651" s="14">
        <v>0</v>
      </c>
      <c r="H651" s="2"/>
      <c r="I651" s="19"/>
      <c r="J651" s="14">
        <v>0</v>
      </c>
      <c r="K651" s="2"/>
      <c r="L651" s="19"/>
      <c r="M651" s="14">
        <v>0</v>
      </c>
      <c r="N651" s="2"/>
      <c r="O651" s="14">
        <v>0</v>
      </c>
      <c r="P651" s="2"/>
      <c r="Q651" s="14">
        <v>0</v>
      </c>
      <c r="R651" s="2"/>
      <c r="S651" s="44">
        <f>[1]!DDIFF(0,0)</f>
        <v>0</v>
      </c>
      <c r="T651" s="2"/>
      <c r="U651" s="1"/>
      <c r="V651" s="62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</row>
    <row r="652" spans="1:67" hidden="1" x14ac:dyDescent="0.25">
      <c r="A652" t="s">
        <v>1410</v>
      </c>
      <c r="E652" s="42" t="s">
        <v>1411</v>
      </c>
      <c r="F652" s="43" t="s">
        <v>1412</v>
      </c>
      <c r="G652" s="14">
        <v>0</v>
      </c>
      <c r="H652" s="2"/>
      <c r="I652" s="19"/>
      <c r="J652" s="14">
        <v>0</v>
      </c>
      <c r="K652" s="2"/>
      <c r="L652" s="19"/>
      <c r="M652" s="14">
        <v>0</v>
      </c>
      <c r="N652" s="2"/>
      <c r="O652" s="14">
        <v>0</v>
      </c>
      <c r="P652" s="2"/>
      <c r="Q652" s="14">
        <v>0</v>
      </c>
      <c r="R652" s="2"/>
      <c r="S652" s="44">
        <f>[1]!DDIFF(0,0)</f>
        <v>0</v>
      </c>
      <c r="T652" s="2"/>
      <c r="U652" s="1"/>
      <c r="V652" s="62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</row>
    <row r="653" spans="1:67" hidden="1" x14ac:dyDescent="0.25">
      <c r="A653" t="s">
        <v>1413</v>
      </c>
      <c r="E653" s="42" t="s">
        <v>1414</v>
      </c>
      <c r="F653" s="43" t="s">
        <v>1415</v>
      </c>
      <c r="G653" s="14">
        <v>0</v>
      </c>
      <c r="H653" s="2"/>
      <c r="I653" s="19"/>
      <c r="J653" s="14">
        <v>0</v>
      </c>
      <c r="K653" s="2"/>
      <c r="L653" s="19"/>
      <c r="M653" s="14">
        <v>0</v>
      </c>
      <c r="N653" s="2"/>
      <c r="O653" s="14">
        <v>0</v>
      </c>
      <c r="P653" s="2"/>
      <c r="Q653" s="14">
        <v>0</v>
      </c>
      <c r="R653" s="2"/>
      <c r="S653" s="44">
        <f>[1]!DDIFF(0,0)</f>
        <v>0</v>
      </c>
      <c r="T653" s="2"/>
      <c r="U653" s="1"/>
      <c r="V653" s="62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</row>
    <row r="654" spans="1:67" hidden="1" x14ac:dyDescent="0.25">
      <c r="A654" t="s">
        <v>1416</v>
      </c>
      <c r="E654" s="42" t="s">
        <v>1417</v>
      </c>
      <c r="F654" s="43" t="s">
        <v>1418</v>
      </c>
      <c r="G654" s="14">
        <v>0</v>
      </c>
      <c r="H654" s="2"/>
      <c r="I654" s="19"/>
      <c r="J654" s="14">
        <v>0</v>
      </c>
      <c r="K654" s="2"/>
      <c r="L654" s="19"/>
      <c r="M654" s="14">
        <v>0</v>
      </c>
      <c r="N654" s="2"/>
      <c r="O654" s="14">
        <v>0</v>
      </c>
      <c r="P654" s="2"/>
      <c r="Q654" s="14">
        <v>0</v>
      </c>
      <c r="R654" s="2"/>
      <c r="S654" s="44">
        <f>[1]!DDIFF(0,0)</f>
        <v>0</v>
      </c>
      <c r="T654" s="2"/>
      <c r="U654" s="1"/>
      <c r="V654" s="62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</row>
    <row r="655" spans="1:67" hidden="1" x14ac:dyDescent="0.25">
      <c r="A655" t="s">
        <v>1419</v>
      </c>
      <c r="E655" s="42" t="s">
        <v>1420</v>
      </c>
      <c r="F655" s="43" t="s">
        <v>1421</v>
      </c>
      <c r="G655" s="14">
        <v>0</v>
      </c>
      <c r="H655" s="2"/>
      <c r="I655" s="19"/>
      <c r="J655" s="14">
        <v>0</v>
      </c>
      <c r="K655" s="2"/>
      <c r="L655" s="19"/>
      <c r="M655" s="14">
        <v>0</v>
      </c>
      <c r="N655" s="2"/>
      <c r="O655" s="14">
        <v>0</v>
      </c>
      <c r="P655" s="2"/>
      <c r="Q655" s="14">
        <v>0</v>
      </c>
      <c r="R655" s="2"/>
      <c r="S655" s="44">
        <f>[1]!DDIFF(0,0)</f>
        <v>0</v>
      </c>
      <c r="T655" s="2"/>
      <c r="U655" s="1"/>
      <c r="V655" s="62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</row>
    <row r="656" spans="1:67" hidden="1" x14ac:dyDescent="0.25">
      <c r="A656" t="s">
        <v>1422</v>
      </c>
      <c r="E656" s="45" t="s">
        <v>2572</v>
      </c>
      <c r="F656" s="46" t="s">
        <v>1385</v>
      </c>
      <c r="G656" s="15">
        <v>0</v>
      </c>
      <c r="H656" s="3"/>
      <c r="I656" s="20"/>
      <c r="J656" s="15">
        <v>0</v>
      </c>
      <c r="K656" s="3"/>
      <c r="L656" s="20"/>
      <c r="M656" s="15">
        <v>0</v>
      </c>
      <c r="N656" s="3"/>
      <c r="O656" s="15">
        <v>0</v>
      </c>
      <c r="P656" s="3"/>
      <c r="Q656" s="15">
        <v>0</v>
      </c>
      <c r="R656" s="3"/>
      <c r="S656" s="47">
        <f>[1]!DDIFF(0,0)</f>
        <v>0</v>
      </c>
      <c r="T656" s="3"/>
      <c r="U656" s="1"/>
      <c r="V656" s="62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</row>
    <row r="657" spans="1:67" hidden="1" x14ac:dyDescent="0.25">
      <c r="A657" t="s">
        <v>1423</v>
      </c>
      <c r="H657" s="1"/>
      <c r="K657" s="1"/>
      <c r="N657" s="1"/>
      <c r="P657" s="1"/>
      <c r="R657" s="1"/>
      <c r="T657" s="1"/>
      <c r="U657" s="1"/>
      <c r="V657" s="62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</row>
    <row r="658" spans="1:67" x14ac:dyDescent="0.25">
      <c r="A658" t="s">
        <v>2573</v>
      </c>
      <c r="E658" s="40" t="s">
        <v>2574</v>
      </c>
      <c r="F658" s="41" t="s">
        <v>2575</v>
      </c>
      <c r="H658" s="1"/>
      <c r="K658" s="1"/>
      <c r="N658" s="1"/>
      <c r="P658" s="1"/>
      <c r="R658" s="1"/>
      <c r="T658" s="1"/>
      <c r="U658" s="1"/>
      <c r="V658" s="62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</row>
    <row r="659" spans="1:67" hidden="1" x14ac:dyDescent="0.25">
      <c r="A659" t="s">
        <v>2430</v>
      </c>
      <c r="E659" s="42" t="s">
        <v>2431</v>
      </c>
      <c r="F659" s="43" t="s">
        <v>2432</v>
      </c>
      <c r="G659" s="14">
        <v>0</v>
      </c>
      <c r="H659" s="2"/>
      <c r="I659" s="19"/>
      <c r="J659" s="14">
        <v>0</v>
      </c>
      <c r="K659" s="2"/>
      <c r="L659" s="19"/>
      <c r="M659" s="14">
        <v>0</v>
      </c>
      <c r="N659" s="2"/>
      <c r="O659" s="14">
        <v>0</v>
      </c>
      <c r="P659" s="2"/>
      <c r="Q659" s="14">
        <v>0</v>
      </c>
      <c r="R659" s="2"/>
      <c r="S659" s="44">
        <f>[1]!DDIFF(0,0)</f>
        <v>0</v>
      </c>
      <c r="T659" s="2"/>
      <c r="U659" s="1"/>
      <c r="V659" s="62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</row>
    <row r="660" spans="1:67" hidden="1" x14ac:dyDescent="0.25">
      <c r="A660" t="s">
        <v>2433</v>
      </c>
      <c r="E660" s="42" t="s">
        <v>2434</v>
      </c>
      <c r="F660" s="43" t="s">
        <v>2435</v>
      </c>
      <c r="G660" s="14">
        <v>0</v>
      </c>
      <c r="H660" s="2"/>
      <c r="I660" s="19"/>
      <c r="J660" s="14">
        <v>0</v>
      </c>
      <c r="K660" s="2"/>
      <c r="L660" s="19"/>
      <c r="M660" s="14">
        <v>0</v>
      </c>
      <c r="N660" s="2"/>
      <c r="O660" s="14">
        <v>0</v>
      </c>
      <c r="P660" s="2"/>
      <c r="Q660" s="14">
        <v>0</v>
      </c>
      <c r="R660" s="2"/>
      <c r="S660" s="44">
        <f>[1]!DDIFF(0,0)</f>
        <v>0</v>
      </c>
      <c r="T660" s="2"/>
      <c r="U660" s="1"/>
      <c r="V660" s="62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</row>
    <row r="661" spans="1:67" hidden="1" x14ac:dyDescent="0.25">
      <c r="A661" t="s">
        <v>2436</v>
      </c>
      <c r="E661" s="42" t="s">
        <v>2437</v>
      </c>
      <c r="F661" s="43" t="s">
        <v>2432</v>
      </c>
      <c r="G661" s="14">
        <v>0</v>
      </c>
      <c r="H661" s="2"/>
      <c r="I661" s="19"/>
      <c r="J661" s="14">
        <v>0</v>
      </c>
      <c r="K661" s="2"/>
      <c r="L661" s="19"/>
      <c r="M661" s="14">
        <v>0</v>
      </c>
      <c r="N661" s="2"/>
      <c r="O661" s="14">
        <v>0</v>
      </c>
      <c r="P661" s="2"/>
      <c r="Q661" s="14">
        <v>0</v>
      </c>
      <c r="R661" s="2"/>
      <c r="S661" s="44">
        <f>[1]!DDIFF(0,0)</f>
        <v>0</v>
      </c>
      <c r="T661" s="2"/>
      <c r="U661" s="1"/>
      <c r="V661" s="62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</row>
    <row r="662" spans="1:67" hidden="1" x14ac:dyDescent="0.25">
      <c r="A662" t="s">
        <v>2438</v>
      </c>
      <c r="E662" s="42" t="s">
        <v>2439</v>
      </c>
      <c r="F662" s="43" t="s">
        <v>2435</v>
      </c>
      <c r="G662" s="14">
        <v>0</v>
      </c>
      <c r="H662" s="2"/>
      <c r="I662" s="19"/>
      <c r="J662" s="14">
        <v>0</v>
      </c>
      <c r="K662" s="2"/>
      <c r="L662" s="19"/>
      <c r="M662" s="14">
        <v>0</v>
      </c>
      <c r="N662" s="2"/>
      <c r="O662" s="14">
        <v>0</v>
      </c>
      <c r="P662" s="2"/>
      <c r="Q662" s="14">
        <v>0</v>
      </c>
      <c r="R662" s="2"/>
      <c r="S662" s="44">
        <f>[1]!DDIFF(0,0)</f>
        <v>0</v>
      </c>
      <c r="T662" s="2"/>
      <c r="U662" s="1"/>
      <c r="V662" s="62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</row>
    <row r="663" spans="1:67" collapsed="1" x14ac:dyDescent="0.25">
      <c r="A663" t="s">
        <v>2440</v>
      </c>
      <c r="E663" s="42" t="s">
        <v>2441</v>
      </c>
      <c r="F663" s="43" t="s">
        <v>2432</v>
      </c>
      <c r="G663" s="14">
        <v>-13010</v>
      </c>
      <c r="H663" s="2"/>
      <c r="I663" s="19"/>
      <c r="J663" s="14">
        <v>0</v>
      </c>
      <c r="K663" s="2"/>
      <c r="L663" s="19"/>
      <c r="M663" s="14">
        <v>-13813</v>
      </c>
      <c r="N663" s="2"/>
      <c r="O663" s="14">
        <v>-26823</v>
      </c>
      <c r="P663" s="55" t="s">
        <v>2863</v>
      </c>
      <c r="Q663" s="14">
        <v>-12425</v>
      </c>
      <c r="R663" s="2"/>
      <c r="S663" s="44">
        <f>[1]!DDIFF(-12425,-26823)</f>
        <v>-14398</v>
      </c>
      <c r="T663" s="2"/>
      <c r="U663" s="1"/>
      <c r="V663" s="62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</row>
    <row r="664" spans="1:67" hidden="1" outlineLevel="1" x14ac:dyDescent="0.25">
      <c r="A664" t="s">
        <v>2861</v>
      </c>
      <c r="E664" s="7"/>
      <c r="F664" s="10"/>
      <c r="G664" s="14"/>
      <c r="H664" s="2"/>
      <c r="I664" s="19"/>
      <c r="J664" s="14"/>
      <c r="K664" s="2"/>
      <c r="L664" s="54" t="s">
        <v>2789</v>
      </c>
      <c r="M664" s="14">
        <v>-13813</v>
      </c>
      <c r="N664" s="2"/>
      <c r="O664" s="14"/>
      <c r="P664" s="2"/>
      <c r="Q664" s="14"/>
      <c r="R664" s="2"/>
      <c r="S664" s="14"/>
      <c r="T664" s="2"/>
      <c r="U664" s="1"/>
      <c r="V664" s="62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</row>
    <row r="665" spans="1:67" hidden="1" x14ac:dyDescent="0.25">
      <c r="A665" t="s">
        <v>2442</v>
      </c>
      <c r="E665" s="42" t="s">
        <v>2443</v>
      </c>
      <c r="F665" s="43" t="s">
        <v>2435</v>
      </c>
      <c r="G665" s="14">
        <v>0</v>
      </c>
      <c r="H665" s="2"/>
      <c r="I665" s="19"/>
      <c r="J665" s="14">
        <v>0</v>
      </c>
      <c r="K665" s="2"/>
      <c r="L665" s="19"/>
      <c r="M665" s="14">
        <v>0</v>
      </c>
      <c r="N665" s="2"/>
      <c r="O665" s="14">
        <v>0</v>
      </c>
      <c r="P665" s="2"/>
      <c r="Q665" s="14">
        <v>0</v>
      </c>
      <c r="R665" s="2"/>
      <c r="S665" s="44">
        <f>[1]!DDIFF(0,0)</f>
        <v>0</v>
      </c>
      <c r="T665" s="2"/>
      <c r="U665" s="1"/>
      <c r="V665" s="62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</row>
    <row r="666" spans="1:67" hidden="1" x14ac:dyDescent="0.25">
      <c r="A666" t="s">
        <v>2444</v>
      </c>
      <c r="E666" s="42" t="s">
        <v>2445</v>
      </c>
      <c r="F666" s="43" t="s">
        <v>2446</v>
      </c>
      <c r="G666" s="14">
        <v>0</v>
      </c>
      <c r="H666" s="2"/>
      <c r="I666" s="19"/>
      <c r="J666" s="14">
        <v>0</v>
      </c>
      <c r="K666" s="2"/>
      <c r="L666" s="19"/>
      <c r="M666" s="14">
        <v>0</v>
      </c>
      <c r="N666" s="2"/>
      <c r="O666" s="14">
        <v>0</v>
      </c>
      <c r="P666" s="2"/>
      <c r="Q666" s="14">
        <v>0</v>
      </c>
      <c r="R666" s="2"/>
      <c r="S666" s="44">
        <f>[1]!DDIFF(0,0)</f>
        <v>0</v>
      </c>
      <c r="T666" s="2"/>
      <c r="U666" s="1"/>
      <c r="V666" s="62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</row>
    <row r="667" spans="1:67" x14ac:dyDescent="0.25">
      <c r="A667" t="s">
        <v>2576</v>
      </c>
      <c r="E667" s="45" t="s">
        <v>2577</v>
      </c>
      <c r="F667" s="46" t="s">
        <v>2575</v>
      </c>
      <c r="G667" s="15">
        <v>-13010</v>
      </c>
      <c r="H667" s="3"/>
      <c r="I667" s="20"/>
      <c r="J667" s="15">
        <v>0</v>
      </c>
      <c r="K667" s="3"/>
      <c r="L667" s="20"/>
      <c r="M667" s="15">
        <v>-13813</v>
      </c>
      <c r="N667" s="3"/>
      <c r="O667" s="15">
        <v>-26823</v>
      </c>
      <c r="P667" s="3"/>
      <c r="Q667" s="15">
        <v>-12425</v>
      </c>
      <c r="R667" s="3"/>
      <c r="S667" s="47">
        <f>[1]!DDIFF(-12425,-26823)</f>
        <v>-14398</v>
      </c>
      <c r="T667" s="3"/>
      <c r="U667" s="1"/>
      <c r="V667" s="62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</row>
    <row r="668" spans="1:67" x14ac:dyDescent="0.25">
      <c r="A668" t="s">
        <v>2578</v>
      </c>
      <c r="H668" s="1"/>
      <c r="K668" s="1"/>
      <c r="N668" s="1"/>
      <c r="P668" s="1"/>
      <c r="R668" s="1"/>
      <c r="T668" s="1"/>
      <c r="U668" s="1"/>
      <c r="V668" s="62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</row>
    <row r="669" spans="1:67" x14ac:dyDescent="0.25">
      <c r="A669" t="s">
        <v>2579</v>
      </c>
      <c r="E669" s="40" t="s">
        <v>2580</v>
      </c>
      <c r="F669" s="41" t="s">
        <v>2581</v>
      </c>
      <c r="H669" s="1"/>
      <c r="K669" s="1"/>
      <c r="N669" s="1"/>
      <c r="P669" s="1"/>
      <c r="R669" s="1"/>
      <c r="T669" s="1"/>
      <c r="U669" s="1"/>
      <c r="V669" s="62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</row>
    <row r="670" spans="1:67" collapsed="1" x14ac:dyDescent="0.25">
      <c r="A670" t="s">
        <v>2454</v>
      </c>
      <c r="E670" s="42" t="s">
        <v>2455</v>
      </c>
      <c r="F670" s="43" t="s">
        <v>2456</v>
      </c>
      <c r="G670" s="14">
        <v>-119042</v>
      </c>
      <c r="H670" s="2"/>
      <c r="I670" s="19"/>
      <c r="J670" s="14">
        <v>0</v>
      </c>
      <c r="K670" s="2"/>
      <c r="L670" s="19"/>
      <c r="M670" s="14">
        <v>0</v>
      </c>
      <c r="N670" s="2"/>
      <c r="O670" s="14">
        <v>-119042</v>
      </c>
      <c r="P670" s="55" t="s">
        <v>2863</v>
      </c>
      <c r="Q670" s="14">
        <v>-61319</v>
      </c>
      <c r="R670" s="2"/>
      <c r="S670" s="44">
        <f>[1]!DDIFF(-61319,-119042)</f>
        <v>-57723</v>
      </c>
      <c r="T670" s="2"/>
      <c r="U670" s="1"/>
      <c r="V670" s="62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</row>
    <row r="671" spans="1:67" hidden="1" x14ac:dyDescent="0.25">
      <c r="A671" t="s">
        <v>2457</v>
      </c>
      <c r="E671" s="42" t="s">
        <v>2458</v>
      </c>
      <c r="F671" s="43" t="s">
        <v>2456</v>
      </c>
      <c r="G671" s="14">
        <v>0</v>
      </c>
      <c r="H671" s="2"/>
      <c r="I671" s="19"/>
      <c r="J671" s="14">
        <v>0</v>
      </c>
      <c r="K671" s="2"/>
      <c r="L671" s="19"/>
      <c r="M671" s="14">
        <v>0</v>
      </c>
      <c r="N671" s="2"/>
      <c r="O671" s="14">
        <v>0</v>
      </c>
      <c r="P671" s="2"/>
      <c r="Q671" s="14">
        <v>0</v>
      </c>
      <c r="R671" s="2"/>
      <c r="S671" s="44">
        <f>[1]!DDIFF(0,0)</f>
        <v>0</v>
      </c>
      <c r="T671" s="2"/>
      <c r="U671" s="1"/>
      <c r="V671" s="62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</row>
    <row r="672" spans="1:67" x14ac:dyDescent="0.25">
      <c r="A672" t="s">
        <v>2582</v>
      </c>
      <c r="E672" s="45" t="s">
        <v>2583</v>
      </c>
      <c r="F672" s="46" t="s">
        <v>2581</v>
      </c>
      <c r="G672" s="15">
        <v>-119042</v>
      </c>
      <c r="H672" s="3"/>
      <c r="I672" s="20"/>
      <c r="J672" s="15">
        <v>0</v>
      </c>
      <c r="K672" s="3"/>
      <c r="L672" s="20"/>
      <c r="M672" s="15">
        <v>0</v>
      </c>
      <c r="N672" s="3"/>
      <c r="O672" s="15">
        <v>-119042</v>
      </c>
      <c r="P672" s="3"/>
      <c r="Q672" s="15">
        <v>-61319</v>
      </c>
      <c r="R672" s="3"/>
      <c r="S672" s="47">
        <f>[1]!DDIFF(-61319,-119042)</f>
        <v>-57723</v>
      </c>
      <c r="T672" s="3"/>
      <c r="U672" s="1"/>
      <c r="V672" s="62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</row>
    <row r="673" spans="1:67" x14ac:dyDescent="0.25">
      <c r="A673" t="s">
        <v>2584</v>
      </c>
      <c r="H673" s="1"/>
      <c r="K673" s="1"/>
      <c r="N673" s="1"/>
      <c r="P673" s="1"/>
      <c r="R673" s="1"/>
      <c r="T673" s="1"/>
      <c r="U673" s="1"/>
      <c r="V673" s="62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</row>
    <row r="674" spans="1:67" x14ac:dyDescent="0.25">
      <c r="A674" t="s">
        <v>2585</v>
      </c>
      <c r="E674" s="40" t="s">
        <v>2586</v>
      </c>
      <c r="F674" s="41" t="s">
        <v>2587</v>
      </c>
      <c r="H674" s="1"/>
      <c r="K674" s="1"/>
      <c r="N674" s="1"/>
      <c r="P674" s="1"/>
      <c r="R674" s="1"/>
      <c r="T674" s="1"/>
      <c r="U674" s="1"/>
      <c r="V674" s="62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</row>
    <row r="675" spans="1:67" hidden="1" x14ac:dyDescent="0.25">
      <c r="A675" t="s">
        <v>2459</v>
      </c>
      <c r="E675" s="42" t="s">
        <v>2460</v>
      </c>
      <c r="F675" s="43" t="s">
        <v>2461</v>
      </c>
      <c r="G675" s="14">
        <v>0</v>
      </c>
      <c r="H675" s="2"/>
      <c r="I675" s="19"/>
      <c r="J675" s="14">
        <v>0</v>
      </c>
      <c r="K675" s="2"/>
      <c r="L675" s="19"/>
      <c r="M675" s="14">
        <v>0</v>
      </c>
      <c r="N675" s="2"/>
      <c r="O675" s="14">
        <v>0</v>
      </c>
      <c r="P675" s="2"/>
      <c r="Q675" s="14">
        <v>0</v>
      </c>
      <c r="R675" s="2"/>
      <c r="S675" s="44">
        <f>[1]!DDIFF(0,0)</f>
        <v>0</v>
      </c>
      <c r="T675" s="2"/>
      <c r="U675" s="1"/>
      <c r="V675" s="62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</row>
    <row r="676" spans="1:67" hidden="1" x14ac:dyDescent="0.25">
      <c r="A676" t="s">
        <v>2540</v>
      </c>
      <c r="E676" s="42" t="s">
        <v>2541</v>
      </c>
      <c r="F676" s="43" t="s">
        <v>2542</v>
      </c>
      <c r="G676" s="14">
        <v>0</v>
      </c>
      <c r="H676" s="2"/>
      <c r="I676" s="19"/>
      <c r="J676" s="14">
        <v>0</v>
      </c>
      <c r="K676" s="2"/>
      <c r="L676" s="19"/>
      <c r="M676" s="14">
        <v>0</v>
      </c>
      <c r="N676" s="2"/>
      <c r="O676" s="14">
        <v>0</v>
      </c>
      <c r="P676" s="2"/>
      <c r="Q676" s="14">
        <v>0</v>
      </c>
      <c r="R676" s="2"/>
      <c r="S676" s="44">
        <f>[1]!DDIFF(0,0)</f>
        <v>0</v>
      </c>
      <c r="T676" s="2"/>
      <c r="U676" s="1"/>
      <c r="V676" s="62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</row>
    <row r="677" spans="1:67" hidden="1" x14ac:dyDescent="0.25">
      <c r="A677" t="s">
        <v>2462</v>
      </c>
      <c r="E677" s="42" t="s">
        <v>2463</v>
      </c>
      <c r="F677" s="43" t="s">
        <v>2464</v>
      </c>
      <c r="G677" s="14">
        <v>0</v>
      </c>
      <c r="H677" s="2"/>
      <c r="I677" s="19"/>
      <c r="J677" s="14">
        <v>0</v>
      </c>
      <c r="K677" s="2"/>
      <c r="L677" s="19"/>
      <c r="M677" s="14">
        <v>0</v>
      </c>
      <c r="N677" s="2"/>
      <c r="O677" s="14">
        <v>0</v>
      </c>
      <c r="P677" s="2"/>
      <c r="Q677" s="14">
        <v>0</v>
      </c>
      <c r="R677" s="2"/>
      <c r="S677" s="44">
        <f>[1]!DDIFF(0,0)</f>
        <v>0</v>
      </c>
      <c r="T677" s="2"/>
      <c r="U677" s="1"/>
      <c r="V677" s="62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</row>
    <row r="678" spans="1:67" hidden="1" x14ac:dyDescent="0.25">
      <c r="A678" t="s">
        <v>2465</v>
      </c>
      <c r="E678" s="42" t="s">
        <v>2466</v>
      </c>
      <c r="F678" s="43" t="s">
        <v>2467</v>
      </c>
      <c r="G678" s="14">
        <v>0</v>
      </c>
      <c r="H678" s="2"/>
      <c r="I678" s="19"/>
      <c r="J678" s="14">
        <v>0</v>
      </c>
      <c r="K678" s="2"/>
      <c r="L678" s="19"/>
      <c r="M678" s="14">
        <v>0</v>
      </c>
      <c r="N678" s="2"/>
      <c r="O678" s="14">
        <v>0</v>
      </c>
      <c r="P678" s="2"/>
      <c r="Q678" s="14">
        <v>0</v>
      </c>
      <c r="R678" s="2"/>
      <c r="S678" s="44">
        <f>[1]!DDIFF(0,0)</f>
        <v>0</v>
      </c>
      <c r="T678" s="2"/>
      <c r="U678" s="1"/>
      <c r="V678" s="62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</row>
    <row r="679" spans="1:67" hidden="1" collapsed="1" x14ac:dyDescent="0.25">
      <c r="A679" t="s">
        <v>2468</v>
      </c>
      <c r="E679" s="42" t="s">
        <v>2469</v>
      </c>
      <c r="F679" s="43" t="s">
        <v>2470</v>
      </c>
      <c r="G679" s="14">
        <v>0</v>
      </c>
      <c r="H679" s="2"/>
      <c r="I679" s="19"/>
      <c r="J679" s="14">
        <v>0</v>
      </c>
      <c r="K679" s="2"/>
      <c r="L679" s="19"/>
      <c r="M679" s="14">
        <v>0</v>
      </c>
      <c r="N679" s="2"/>
      <c r="O679" s="14">
        <v>0</v>
      </c>
      <c r="P679" s="2"/>
      <c r="Q679" s="14">
        <v>0</v>
      </c>
      <c r="R679" s="2"/>
      <c r="S679" s="44">
        <f>[1]!DDIFF(0,0)</f>
        <v>0</v>
      </c>
      <c r="T679" s="2"/>
      <c r="U679" s="1"/>
      <c r="V679" s="62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</row>
    <row r="680" spans="1:67" hidden="1" x14ac:dyDescent="0.25">
      <c r="A680" t="s">
        <v>2555</v>
      </c>
      <c r="E680" s="42" t="s">
        <v>2556</v>
      </c>
      <c r="F680" s="43" t="s">
        <v>2542</v>
      </c>
      <c r="G680" s="14">
        <v>0</v>
      </c>
      <c r="H680" s="2"/>
      <c r="I680" s="19"/>
      <c r="J680" s="14">
        <v>0</v>
      </c>
      <c r="K680" s="2"/>
      <c r="L680" s="19"/>
      <c r="M680" s="14">
        <v>0</v>
      </c>
      <c r="N680" s="2"/>
      <c r="O680" s="14">
        <v>0</v>
      </c>
      <c r="P680" s="2"/>
      <c r="Q680" s="14">
        <v>0</v>
      </c>
      <c r="R680" s="2"/>
      <c r="S680" s="44">
        <f>[1]!DDIFF(0,0)</f>
        <v>0</v>
      </c>
      <c r="T680" s="2"/>
      <c r="U680" s="1"/>
      <c r="V680" s="62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</row>
    <row r="681" spans="1:67" hidden="1" x14ac:dyDescent="0.25">
      <c r="A681" t="s">
        <v>2471</v>
      </c>
      <c r="E681" s="42" t="s">
        <v>2472</v>
      </c>
      <c r="F681" s="43" t="s">
        <v>2470</v>
      </c>
      <c r="G681" s="14">
        <v>0</v>
      </c>
      <c r="H681" s="2"/>
      <c r="I681" s="19"/>
      <c r="J681" s="14">
        <v>0</v>
      </c>
      <c r="K681" s="2"/>
      <c r="L681" s="19"/>
      <c r="M681" s="14">
        <v>0</v>
      </c>
      <c r="N681" s="2"/>
      <c r="O681" s="14">
        <v>0</v>
      </c>
      <c r="P681" s="2"/>
      <c r="Q681" s="14">
        <v>0</v>
      </c>
      <c r="R681" s="2"/>
      <c r="S681" s="44">
        <f>[1]!DDIFF(0,0)</f>
        <v>0</v>
      </c>
      <c r="T681" s="2"/>
      <c r="U681" s="1"/>
      <c r="V681" s="62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</row>
    <row r="682" spans="1:67" hidden="1" x14ac:dyDescent="0.25">
      <c r="A682" t="s">
        <v>2473</v>
      </c>
      <c r="E682" s="42" t="s">
        <v>2474</v>
      </c>
      <c r="F682" s="43" t="s">
        <v>2475</v>
      </c>
      <c r="G682" s="14">
        <v>0</v>
      </c>
      <c r="H682" s="2"/>
      <c r="I682" s="19"/>
      <c r="J682" s="14">
        <v>0</v>
      </c>
      <c r="K682" s="2"/>
      <c r="L682" s="19"/>
      <c r="M682" s="14">
        <v>0</v>
      </c>
      <c r="N682" s="2"/>
      <c r="O682" s="14">
        <v>0</v>
      </c>
      <c r="P682" s="2"/>
      <c r="Q682" s="14">
        <v>0</v>
      </c>
      <c r="R682" s="2"/>
      <c r="S682" s="44">
        <f>[1]!DDIFF(0,0)</f>
        <v>0</v>
      </c>
      <c r="T682" s="2"/>
      <c r="U682" s="1"/>
      <c r="V682" s="62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</row>
    <row r="683" spans="1:67" hidden="1" x14ac:dyDescent="0.25">
      <c r="A683" t="s">
        <v>2546</v>
      </c>
      <c r="E683" s="42" t="s">
        <v>2547</v>
      </c>
      <c r="F683" s="43" t="s">
        <v>2542</v>
      </c>
      <c r="G683" s="14">
        <v>0</v>
      </c>
      <c r="H683" s="2"/>
      <c r="I683" s="19"/>
      <c r="J683" s="14">
        <v>0</v>
      </c>
      <c r="K683" s="2"/>
      <c r="L683" s="19"/>
      <c r="M683" s="14">
        <v>0</v>
      </c>
      <c r="N683" s="2"/>
      <c r="O683" s="14">
        <v>0</v>
      </c>
      <c r="P683" s="2"/>
      <c r="Q683" s="14">
        <v>0</v>
      </c>
      <c r="R683" s="2"/>
      <c r="S683" s="44">
        <f>[1]!DDIFF(0,0)</f>
        <v>0</v>
      </c>
      <c r="T683" s="2"/>
      <c r="U683" s="1"/>
      <c r="V683" s="62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</row>
    <row r="684" spans="1:67" hidden="1" x14ac:dyDescent="0.25">
      <c r="A684" t="s">
        <v>2476</v>
      </c>
      <c r="E684" s="42" t="s">
        <v>2477</v>
      </c>
      <c r="F684" s="43" t="s">
        <v>2464</v>
      </c>
      <c r="G684" s="14">
        <v>0</v>
      </c>
      <c r="H684" s="2"/>
      <c r="I684" s="19"/>
      <c r="J684" s="14">
        <v>0</v>
      </c>
      <c r="K684" s="2"/>
      <c r="L684" s="19"/>
      <c r="M684" s="14">
        <v>0</v>
      </c>
      <c r="N684" s="2"/>
      <c r="O684" s="14">
        <v>0</v>
      </c>
      <c r="P684" s="2"/>
      <c r="Q684" s="14">
        <v>0</v>
      </c>
      <c r="R684" s="2"/>
      <c r="S684" s="44">
        <f>[1]!DDIFF(0,0)</f>
        <v>0</v>
      </c>
      <c r="T684" s="2"/>
      <c r="U684" s="1"/>
      <c r="V684" s="62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</row>
    <row r="685" spans="1:67" hidden="1" x14ac:dyDescent="0.25">
      <c r="A685" t="s">
        <v>2478</v>
      </c>
      <c r="E685" s="42" t="s">
        <v>2479</v>
      </c>
      <c r="F685" s="43" t="s">
        <v>2467</v>
      </c>
      <c r="G685" s="14">
        <v>0</v>
      </c>
      <c r="H685" s="2"/>
      <c r="I685" s="19"/>
      <c r="J685" s="14">
        <v>0</v>
      </c>
      <c r="K685" s="2"/>
      <c r="L685" s="19"/>
      <c r="M685" s="14">
        <v>0</v>
      </c>
      <c r="N685" s="2"/>
      <c r="O685" s="14">
        <v>0</v>
      </c>
      <c r="P685" s="2"/>
      <c r="Q685" s="14">
        <v>0</v>
      </c>
      <c r="R685" s="2"/>
      <c r="S685" s="44">
        <f>[1]!DDIFF(0,0)</f>
        <v>0</v>
      </c>
      <c r="T685" s="2"/>
      <c r="U685" s="1"/>
      <c r="V685" s="62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</row>
    <row r="686" spans="1:67" collapsed="1" x14ac:dyDescent="0.25">
      <c r="A686" t="s">
        <v>2480</v>
      </c>
      <c r="E686" s="42" t="s">
        <v>2481</v>
      </c>
      <c r="F686" s="43" t="s">
        <v>2470</v>
      </c>
      <c r="G686" s="14">
        <v>-127008</v>
      </c>
      <c r="H686" s="2"/>
      <c r="I686" s="19"/>
      <c r="J686" s="14">
        <v>-11000</v>
      </c>
      <c r="K686" s="2"/>
      <c r="L686" s="19"/>
      <c r="M686" s="14">
        <v>127008</v>
      </c>
      <c r="N686" s="2"/>
      <c r="O686" s="14">
        <v>-11000</v>
      </c>
      <c r="P686" s="55" t="s">
        <v>2863</v>
      </c>
      <c r="Q686" s="14">
        <v>0</v>
      </c>
      <c r="R686" s="2"/>
      <c r="S686" s="44">
        <f>[1]!DDIFF(0,-11000)</f>
        <v>-11000</v>
      </c>
      <c r="T686" s="2"/>
      <c r="U686" s="1"/>
      <c r="V686" s="62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</row>
    <row r="687" spans="1:67" hidden="1" outlineLevel="1" x14ac:dyDescent="0.25">
      <c r="A687" t="s">
        <v>2788</v>
      </c>
      <c r="E687" s="7"/>
      <c r="F687" s="10"/>
      <c r="G687" s="14"/>
      <c r="H687" s="2"/>
      <c r="I687" s="54" t="s">
        <v>2785</v>
      </c>
      <c r="J687" s="14">
        <v>-11000</v>
      </c>
      <c r="K687" s="2"/>
      <c r="L687" s="54" t="s">
        <v>2789</v>
      </c>
      <c r="M687" s="14">
        <v>127008</v>
      </c>
      <c r="N687" s="2"/>
      <c r="O687" s="14"/>
      <c r="P687" s="2"/>
      <c r="Q687" s="14"/>
      <c r="R687" s="2"/>
      <c r="S687" s="14"/>
      <c r="T687" s="2"/>
      <c r="U687" s="1"/>
      <c r="V687" s="62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</row>
    <row r="688" spans="1:67" x14ac:dyDescent="0.25">
      <c r="A688" t="s">
        <v>2588</v>
      </c>
      <c r="E688" s="45" t="s">
        <v>2589</v>
      </c>
      <c r="F688" s="46" t="s">
        <v>2587</v>
      </c>
      <c r="G688" s="15">
        <v>-127008</v>
      </c>
      <c r="H688" s="3"/>
      <c r="I688" s="20"/>
      <c r="J688" s="15">
        <v>-11000</v>
      </c>
      <c r="K688" s="3"/>
      <c r="L688" s="20"/>
      <c r="M688" s="15">
        <v>127008</v>
      </c>
      <c r="N688" s="3"/>
      <c r="O688" s="15">
        <v>-11000</v>
      </c>
      <c r="P688" s="3"/>
      <c r="Q688" s="15">
        <v>0</v>
      </c>
      <c r="R688" s="3"/>
      <c r="S688" s="47">
        <f>[1]!DDIFF(0,-11000)</f>
        <v>-11000</v>
      </c>
      <c r="T688" s="3"/>
      <c r="U688" s="1"/>
      <c r="V688" s="62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</row>
    <row r="689" spans="1:67" x14ac:dyDescent="0.25">
      <c r="A689" t="s">
        <v>2590</v>
      </c>
      <c r="H689" s="1"/>
      <c r="K689" s="1"/>
      <c r="N689" s="1"/>
      <c r="P689" s="1"/>
      <c r="R689" s="1"/>
      <c r="T689" s="1"/>
      <c r="U689" s="1"/>
      <c r="V689" s="62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</row>
    <row r="690" spans="1:67" x14ac:dyDescent="0.25">
      <c r="A690" t="s">
        <v>2776</v>
      </c>
      <c r="E690" s="40" t="s">
        <v>2777</v>
      </c>
      <c r="F690" s="41" t="s">
        <v>2778</v>
      </c>
      <c r="H690" s="1"/>
      <c r="K690" s="1"/>
      <c r="N690" s="1"/>
      <c r="P690" s="1"/>
      <c r="R690" s="1"/>
      <c r="T690" s="1"/>
      <c r="U690" s="1"/>
      <c r="V690" s="62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</row>
    <row r="691" spans="1:67" collapsed="1" x14ac:dyDescent="0.25">
      <c r="A691" t="s">
        <v>2779</v>
      </c>
      <c r="E691" s="42" t="s">
        <v>2780</v>
      </c>
      <c r="F691" s="43" t="s">
        <v>2778</v>
      </c>
      <c r="G691" s="14">
        <v>0</v>
      </c>
      <c r="H691" s="2"/>
      <c r="I691" s="19"/>
      <c r="J691" s="14">
        <v>0</v>
      </c>
      <c r="K691" s="2"/>
      <c r="L691" s="19"/>
      <c r="M691" s="14">
        <v>-98235</v>
      </c>
      <c r="N691" s="2"/>
      <c r="O691" s="14">
        <v>-98235</v>
      </c>
      <c r="P691" s="55" t="s">
        <v>2863</v>
      </c>
      <c r="Q691" s="14">
        <v>8250</v>
      </c>
      <c r="R691" s="2"/>
      <c r="S691" s="44">
        <f>[1]!DDIFF(8250,-98235)</f>
        <v>-106485</v>
      </c>
      <c r="T691" s="2"/>
      <c r="U691" s="1"/>
      <c r="V691" s="62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</row>
    <row r="692" spans="1:67" hidden="1" outlineLevel="1" x14ac:dyDescent="0.25">
      <c r="A692" t="s">
        <v>2790</v>
      </c>
      <c r="E692" s="7"/>
      <c r="F692" s="10"/>
      <c r="G692" s="14"/>
      <c r="H692" s="2"/>
      <c r="I692" s="19"/>
      <c r="J692" s="14"/>
      <c r="K692" s="2"/>
      <c r="L692" s="54" t="s">
        <v>2789</v>
      </c>
      <c r="M692" s="14">
        <v>-98235</v>
      </c>
      <c r="N692" s="2"/>
      <c r="O692" s="14"/>
      <c r="P692" s="2"/>
      <c r="Q692" s="14"/>
      <c r="R692" s="2"/>
      <c r="S692" s="14"/>
      <c r="T692" s="2"/>
      <c r="U692" s="1"/>
      <c r="V692" s="62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</row>
    <row r="693" spans="1:67" x14ac:dyDescent="0.25">
      <c r="A693" t="s">
        <v>2781</v>
      </c>
      <c r="E693" s="45" t="s">
        <v>2782</v>
      </c>
      <c r="F693" s="46" t="s">
        <v>2778</v>
      </c>
      <c r="G693" s="15">
        <v>0</v>
      </c>
      <c r="H693" s="3"/>
      <c r="I693" s="20"/>
      <c r="J693" s="15">
        <v>0</v>
      </c>
      <c r="K693" s="3"/>
      <c r="L693" s="20"/>
      <c r="M693" s="15">
        <v>-98235</v>
      </c>
      <c r="N693" s="3"/>
      <c r="O693" s="15">
        <v>-98235</v>
      </c>
      <c r="P693" s="3"/>
      <c r="Q693" s="15">
        <v>8250</v>
      </c>
      <c r="R693" s="3"/>
      <c r="S693" s="47">
        <f>[1]!DDIFF(8250,-98235)</f>
        <v>-106485</v>
      </c>
      <c r="T693" s="3"/>
      <c r="U693" s="1"/>
      <c r="V693" s="62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</row>
    <row r="694" spans="1:67" x14ac:dyDescent="0.25">
      <c r="A694" t="s">
        <v>2783</v>
      </c>
      <c r="H694" s="1"/>
      <c r="K694" s="1"/>
      <c r="N694" s="1"/>
      <c r="P694" s="1"/>
      <c r="R694" s="1"/>
      <c r="T694" s="1"/>
      <c r="U694" s="1"/>
      <c r="V694" s="62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</row>
    <row r="695" spans="1:67" x14ac:dyDescent="0.25">
      <c r="A695" t="s">
        <v>2591</v>
      </c>
      <c r="E695" s="40" t="s">
        <v>2592</v>
      </c>
      <c r="F695" s="41" t="s">
        <v>2593</v>
      </c>
      <c r="H695" s="1"/>
      <c r="K695" s="1"/>
      <c r="N695" s="1"/>
      <c r="P695" s="1"/>
      <c r="R695" s="1"/>
      <c r="T695" s="1"/>
      <c r="U695" s="1"/>
      <c r="V695" s="62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</row>
    <row r="696" spans="1:67" collapsed="1" x14ac:dyDescent="0.25">
      <c r="A696" t="s">
        <v>2497</v>
      </c>
      <c r="E696" s="42" t="s">
        <v>2498</v>
      </c>
      <c r="F696" s="43" t="s">
        <v>2499</v>
      </c>
      <c r="G696" s="14">
        <v>-446727</v>
      </c>
      <c r="H696" s="2"/>
      <c r="I696" s="19"/>
      <c r="J696" s="14">
        <v>0</v>
      </c>
      <c r="K696" s="2"/>
      <c r="L696" s="19"/>
      <c r="M696" s="14">
        <v>0</v>
      </c>
      <c r="N696" s="2"/>
      <c r="O696" s="14">
        <v>-446727</v>
      </c>
      <c r="P696" s="55" t="s">
        <v>2863</v>
      </c>
      <c r="Q696" s="14">
        <v>0</v>
      </c>
      <c r="R696" s="2"/>
      <c r="S696" s="44">
        <f>[1]!DDIFF(0,-446727)</f>
        <v>-446727</v>
      </c>
      <c r="T696" s="2"/>
      <c r="U696" s="1"/>
      <c r="V696" s="62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</row>
    <row r="697" spans="1:67" collapsed="1" x14ac:dyDescent="0.25">
      <c r="A697" t="s">
        <v>2511</v>
      </c>
      <c r="E697" s="42" t="s">
        <v>2512</v>
      </c>
      <c r="F697" s="43" t="s">
        <v>2499</v>
      </c>
      <c r="G697" s="14">
        <v>-69770</v>
      </c>
      <c r="H697" s="2"/>
      <c r="I697" s="19"/>
      <c r="J697" s="14">
        <v>0</v>
      </c>
      <c r="K697" s="2"/>
      <c r="L697" s="19"/>
      <c r="M697" s="14">
        <v>0</v>
      </c>
      <c r="N697" s="2"/>
      <c r="O697" s="14">
        <v>-69770</v>
      </c>
      <c r="P697" s="58" t="s">
        <v>2869</v>
      </c>
      <c r="Q697" s="14">
        <v>-30230</v>
      </c>
      <c r="R697" s="2"/>
      <c r="S697" s="44">
        <f>[1]!DDIFF(-30230,-69770)</f>
        <v>-39540</v>
      </c>
      <c r="T697" s="2"/>
      <c r="U697" s="1"/>
      <c r="V697" s="62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</row>
    <row r="698" spans="1:67" x14ac:dyDescent="0.25">
      <c r="A698" t="s">
        <v>2594</v>
      </c>
      <c r="E698" s="45" t="s">
        <v>2595</v>
      </c>
      <c r="F698" s="46" t="s">
        <v>2593</v>
      </c>
      <c r="G698" s="15">
        <v>-516497</v>
      </c>
      <c r="H698" s="3"/>
      <c r="I698" s="20"/>
      <c r="J698" s="15">
        <v>0</v>
      </c>
      <c r="K698" s="3"/>
      <c r="L698" s="20"/>
      <c r="M698" s="15">
        <v>0</v>
      </c>
      <c r="N698" s="3"/>
      <c r="O698" s="15">
        <v>-516497</v>
      </c>
      <c r="P698" s="3"/>
      <c r="Q698" s="15">
        <v>-30230</v>
      </c>
      <c r="R698" s="3"/>
      <c r="S698" s="47">
        <f>[1]!DDIFF(-30230,-516497)</f>
        <v>-486267</v>
      </c>
      <c r="T698" s="3"/>
      <c r="U698" s="1"/>
      <c r="V698" s="62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</row>
    <row r="699" spans="1:67" x14ac:dyDescent="0.25">
      <c r="A699" t="s">
        <v>2596</v>
      </c>
      <c r="H699" s="1"/>
      <c r="K699" s="1"/>
      <c r="N699" s="1"/>
      <c r="P699" s="1"/>
      <c r="R699" s="1"/>
      <c r="T699" s="1"/>
      <c r="U699" s="1"/>
      <c r="V699" s="62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</row>
    <row r="700" spans="1:67" x14ac:dyDescent="0.25">
      <c r="A700" t="s">
        <v>2597</v>
      </c>
      <c r="E700" s="40" t="s">
        <v>1270</v>
      </c>
      <c r="F700" s="41" t="s">
        <v>2598</v>
      </c>
      <c r="H700" s="1"/>
      <c r="K700" s="1"/>
      <c r="N700" s="1"/>
      <c r="P700" s="1"/>
      <c r="R700" s="1"/>
      <c r="T700" s="1"/>
      <c r="U700" s="1"/>
      <c r="V700" s="62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</row>
    <row r="701" spans="1:67" hidden="1" x14ac:dyDescent="0.25">
      <c r="A701" t="s">
        <v>2524</v>
      </c>
      <c r="E701" s="42" t="s">
        <v>2525</v>
      </c>
      <c r="F701" s="43" t="s">
        <v>2526</v>
      </c>
      <c r="G701" s="14">
        <v>0</v>
      </c>
      <c r="H701" s="2"/>
      <c r="I701" s="19"/>
      <c r="J701" s="14">
        <v>0</v>
      </c>
      <c r="K701" s="2"/>
      <c r="L701" s="19"/>
      <c r="M701" s="14">
        <v>0</v>
      </c>
      <c r="N701" s="2"/>
      <c r="O701" s="14">
        <v>0</v>
      </c>
      <c r="P701" s="2"/>
      <c r="Q701" s="14">
        <v>0</v>
      </c>
      <c r="R701" s="2"/>
      <c r="S701" s="44">
        <f>[1]!DDIFF(0,0)</f>
        <v>0</v>
      </c>
      <c r="T701" s="2"/>
      <c r="U701" s="1"/>
      <c r="V701" s="62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</row>
    <row r="702" spans="1:67" x14ac:dyDescent="0.25">
      <c r="A702" t="s">
        <v>2527</v>
      </c>
      <c r="E702" s="42" t="s">
        <v>2528</v>
      </c>
      <c r="F702" s="43" t="s">
        <v>2526</v>
      </c>
      <c r="G702" s="14">
        <v>-135316</v>
      </c>
      <c r="H702" s="2"/>
      <c r="I702" s="19"/>
      <c r="J702" s="14">
        <v>0</v>
      </c>
      <c r="K702" s="2"/>
      <c r="L702" s="19"/>
      <c r="M702" s="14">
        <v>0</v>
      </c>
      <c r="N702" s="2"/>
      <c r="O702" s="14">
        <v>-135316</v>
      </c>
      <c r="P702" s="57" t="s">
        <v>2870</v>
      </c>
      <c r="Q702" s="14">
        <v>-200839</v>
      </c>
      <c r="R702" s="2"/>
      <c r="S702" s="44">
        <f>[1]!DDIFF(-200839,-135316)</f>
        <v>65523</v>
      </c>
      <c r="T702" s="2"/>
      <c r="U702" s="57" t="s">
        <v>2870</v>
      </c>
      <c r="V702" s="62">
        <f>+O702+O706</f>
        <v>-157091</v>
      </c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</row>
    <row r="703" spans="1:67" x14ac:dyDescent="0.25">
      <c r="A703" t="s">
        <v>2599</v>
      </c>
      <c r="E703" s="45" t="s">
        <v>1284</v>
      </c>
      <c r="F703" s="46" t="s">
        <v>2598</v>
      </c>
      <c r="G703" s="15">
        <v>-135316</v>
      </c>
      <c r="H703" s="3"/>
      <c r="I703" s="20"/>
      <c r="J703" s="15">
        <v>0</v>
      </c>
      <c r="K703" s="3"/>
      <c r="L703" s="20"/>
      <c r="M703" s="15">
        <v>0</v>
      </c>
      <c r="N703" s="3"/>
      <c r="O703" s="15">
        <v>-135316</v>
      </c>
      <c r="P703" s="3"/>
      <c r="Q703" s="15">
        <v>-200839</v>
      </c>
      <c r="R703" s="3"/>
      <c r="S703" s="47">
        <f>[1]!DDIFF(-200839,-135316)</f>
        <v>65523</v>
      </c>
      <c r="T703" s="3"/>
      <c r="U703" s="1"/>
      <c r="V703" s="62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</row>
    <row r="704" spans="1:67" x14ac:dyDescent="0.25">
      <c r="A704" t="s">
        <v>2600</v>
      </c>
      <c r="H704" s="1"/>
      <c r="K704" s="1"/>
      <c r="N704" s="1"/>
      <c r="P704" s="1"/>
      <c r="R704" s="1"/>
      <c r="T704" s="1"/>
      <c r="U704" s="1"/>
      <c r="V704" s="62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</row>
    <row r="705" spans="1:67" x14ac:dyDescent="0.25">
      <c r="A705" t="s">
        <v>2601</v>
      </c>
      <c r="E705" s="40" t="s">
        <v>2602</v>
      </c>
      <c r="F705" s="41" t="s">
        <v>2603</v>
      </c>
      <c r="H705" s="1"/>
      <c r="K705" s="1"/>
      <c r="N705" s="1"/>
      <c r="P705" s="1"/>
      <c r="R705" s="1"/>
      <c r="T705" s="1"/>
      <c r="U705" s="1"/>
      <c r="V705" s="62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</row>
    <row r="706" spans="1:67" x14ac:dyDescent="0.25">
      <c r="A706" t="s">
        <v>2529</v>
      </c>
      <c r="E706" s="42" t="s">
        <v>2530</v>
      </c>
      <c r="F706" s="43" t="s">
        <v>2531</v>
      </c>
      <c r="G706" s="14">
        <v>-21775</v>
      </c>
      <c r="H706" s="2"/>
      <c r="I706" s="19"/>
      <c r="J706" s="14">
        <v>0</v>
      </c>
      <c r="K706" s="2"/>
      <c r="L706" s="19"/>
      <c r="M706" s="14">
        <v>0</v>
      </c>
      <c r="N706" s="2"/>
      <c r="O706" s="14">
        <v>-21775</v>
      </c>
      <c r="P706" s="57" t="s">
        <v>2870</v>
      </c>
      <c r="Q706" s="14">
        <v>-21870</v>
      </c>
      <c r="R706" s="2"/>
      <c r="S706" s="44">
        <f>[1]!DDIFF(-21870,-21775)</f>
        <v>95</v>
      </c>
      <c r="T706" s="2"/>
      <c r="U706" s="1"/>
      <c r="V706" s="62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</row>
    <row r="707" spans="1:67" hidden="1" x14ac:dyDescent="0.25">
      <c r="A707" t="s">
        <v>2532</v>
      </c>
      <c r="E707" s="42" t="s">
        <v>2533</v>
      </c>
      <c r="F707" s="43" t="s">
        <v>2534</v>
      </c>
      <c r="G707" s="14">
        <v>0</v>
      </c>
      <c r="H707" s="2"/>
      <c r="I707" s="19"/>
      <c r="J707" s="14">
        <v>0</v>
      </c>
      <c r="K707" s="2"/>
      <c r="L707" s="19"/>
      <c r="M707" s="14">
        <v>0</v>
      </c>
      <c r="N707" s="2"/>
      <c r="O707" s="14">
        <v>0</v>
      </c>
      <c r="P707" s="2"/>
      <c r="Q707" s="14">
        <v>0</v>
      </c>
      <c r="R707" s="2"/>
      <c r="S707" s="44">
        <f>[1]!DDIFF(0,0)</f>
        <v>0</v>
      </c>
      <c r="T707" s="2"/>
      <c r="U707" s="1"/>
      <c r="V707" s="62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</row>
    <row r="708" spans="1:67" x14ac:dyDescent="0.25">
      <c r="A708" t="s">
        <v>2604</v>
      </c>
      <c r="E708" s="45" t="s">
        <v>2605</v>
      </c>
      <c r="F708" s="46" t="s">
        <v>2603</v>
      </c>
      <c r="G708" s="15">
        <v>-21775</v>
      </c>
      <c r="H708" s="3"/>
      <c r="I708" s="20"/>
      <c r="J708" s="15">
        <v>0</v>
      </c>
      <c r="K708" s="3"/>
      <c r="L708" s="20"/>
      <c r="M708" s="15">
        <v>0</v>
      </c>
      <c r="N708" s="3"/>
      <c r="O708" s="15">
        <v>-21775</v>
      </c>
      <c r="P708" s="3"/>
      <c r="Q708" s="15">
        <v>-21870</v>
      </c>
      <c r="R708" s="3"/>
      <c r="S708" s="47">
        <f>[1]!DDIFF(-21870,-21775)</f>
        <v>95</v>
      </c>
      <c r="T708" s="3"/>
      <c r="U708" s="1"/>
      <c r="V708" s="62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</row>
    <row r="709" spans="1:67" x14ac:dyDescent="0.25">
      <c r="A709" t="s">
        <v>2606</v>
      </c>
      <c r="H709" s="1"/>
      <c r="K709" s="1"/>
      <c r="N709" s="1"/>
      <c r="P709" s="1"/>
      <c r="R709" s="1"/>
      <c r="T709" s="1"/>
      <c r="U709" s="1"/>
      <c r="V709" s="62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</row>
    <row r="710" spans="1:67" hidden="1" x14ac:dyDescent="0.25">
      <c r="A710" t="s">
        <v>2607</v>
      </c>
      <c r="E710" s="40" t="s">
        <v>2608</v>
      </c>
      <c r="F710" s="41" t="s">
        <v>2609</v>
      </c>
      <c r="H710" s="1"/>
      <c r="K710" s="1"/>
      <c r="N710" s="1"/>
      <c r="P710" s="1"/>
      <c r="R710" s="1"/>
      <c r="T710" s="1"/>
      <c r="U710" s="1"/>
      <c r="V710" s="62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</row>
    <row r="711" spans="1:67" hidden="1" x14ac:dyDescent="0.25">
      <c r="A711" t="s">
        <v>2482</v>
      </c>
      <c r="E711" s="42" t="s">
        <v>2483</v>
      </c>
      <c r="F711" s="43" t="s">
        <v>2484</v>
      </c>
      <c r="G711" s="14">
        <v>0</v>
      </c>
      <c r="H711" s="2"/>
      <c r="I711" s="19"/>
      <c r="J711" s="14">
        <v>0</v>
      </c>
      <c r="K711" s="2"/>
      <c r="L711" s="19"/>
      <c r="M711" s="14">
        <v>0</v>
      </c>
      <c r="N711" s="2"/>
      <c r="O711" s="14">
        <v>0</v>
      </c>
      <c r="P711" s="2"/>
      <c r="Q711" s="14">
        <v>0</v>
      </c>
      <c r="R711" s="2"/>
      <c r="S711" s="44">
        <f>[1]!DDIFF(0,0)</f>
        <v>0</v>
      </c>
      <c r="T711" s="2"/>
      <c r="U711" s="1"/>
      <c r="V711" s="62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</row>
    <row r="712" spans="1:67" hidden="1" x14ac:dyDescent="0.25">
      <c r="A712" t="s">
        <v>2485</v>
      </c>
      <c r="E712" s="42" t="s">
        <v>2486</v>
      </c>
      <c r="F712" s="43" t="s">
        <v>2487</v>
      </c>
      <c r="G712" s="14">
        <v>0</v>
      </c>
      <c r="H712" s="2"/>
      <c r="I712" s="19"/>
      <c r="J712" s="14">
        <v>0</v>
      </c>
      <c r="K712" s="2"/>
      <c r="L712" s="19"/>
      <c r="M712" s="14">
        <v>0</v>
      </c>
      <c r="N712" s="2"/>
      <c r="O712" s="14">
        <v>0</v>
      </c>
      <c r="P712" s="2"/>
      <c r="Q712" s="14">
        <v>0</v>
      </c>
      <c r="R712" s="2"/>
      <c r="S712" s="44">
        <f>[1]!DDIFF(0,0)</f>
        <v>0</v>
      </c>
      <c r="T712" s="2"/>
      <c r="U712" s="1"/>
      <c r="V712" s="62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</row>
    <row r="713" spans="1:67" hidden="1" x14ac:dyDescent="0.25">
      <c r="A713" t="s">
        <v>2488</v>
      </c>
      <c r="E713" s="42" t="s">
        <v>2489</v>
      </c>
      <c r="F713" s="43" t="s">
        <v>2490</v>
      </c>
      <c r="G713" s="14">
        <v>0</v>
      </c>
      <c r="H713" s="2"/>
      <c r="I713" s="19"/>
      <c r="J713" s="14">
        <v>0</v>
      </c>
      <c r="K713" s="2"/>
      <c r="L713" s="19"/>
      <c r="M713" s="14">
        <v>0</v>
      </c>
      <c r="N713" s="2"/>
      <c r="O713" s="14">
        <v>0</v>
      </c>
      <c r="P713" s="2"/>
      <c r="Q713" s="14">
        <v>0</v>
      </c>
      <c r="R713" s="2"/>
      <c r="S713" s="44">
        <f>[1]!DDIFF(0,0)</f>
        <v>0</v>
      </c>
      <c r="T713" s="2"/>
      <c r="U713" s="1"/>
      <c r="V713" s="62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</row>
    <row r="714" spans="1:67" hidden="1" x14ac:dyDescent="0.25">
      <c r="A714" t="s">
        <v>2610</v>
      </c>
      <c r="E714" s="45" t="s">
        <v>2611</v>
      </c>
      <c r="F714" s="46" t="s">
        <v>2609</v>
      </c>
      <c r="G714" s="15">
        <v>0</v>
      </c>
      <c r="H714" s="3"/>
      <c r="I714" s="20"/>
      <c r="J714" s="15">
        <v>0</v>
      </c>
      <c r="K714" s="3"/>
      <c r="L714" s="20"/>
      <c r="M714" s="15">
        <v>0</v>
      </c>
      <c r="N714" s="3"/>
      <c r="O714" s="15">
        <v>0</v>
      </c>
      <c r="P714" s="3"/>
      <c r="Q714" s="15">
        <v>0</v>
      </c>
      <c r="R714" s="3"/>
      <c r="S714" s="47">
        <f>[1]!DDIFF(0,0)</f>
        <v>0</v>
      </c>
      <c r="T714" s="3"/>
      <c r="U714" s="1"/>
      <c r="V714" s="62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</row>
    <row r="715" spans="1:67" hidden="1" x14ac:dyDescent="0.25">
      <c r="A715" t="s">
        <v>2612</v>
      </c>
      <c r="H715" s="1"/>
      <c r="K715" s="1"/>
      <c r="N715" s="1"/>
      <c r="P715" s="1"/>
      <c r="R715" s="1"/>
      <c r="T715" s="1"/>
      <c r="U715" s="1"/>
      <c r="V715" s="62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</row>
    <row r="716" spans="1:67" x14ac:dyDescent="0.25">
      <c r="A716" t="s">
        <v>2613</v>
      </c>
      <c r="E716" s="40" t="s">
        <v>2614</v>
      </c>
      <c r="F716" s="41" t="s">
        <v>2615</v>
      </c>
      <c r="H716" s="1"/>
      <c r="K716" s="1"/>
      <c r="N716" s="1"/>
      <c r="P716" s="1"/>
      <c r="R716" s="1"/>
      <c r="T716" s="1"/>
      <c r="U716" s="1"/>
      <c r="V716" s="62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</row>
    <row r="717" spans="1:67" hidden="1" x14ac:dyDescent="0.25">
      <c r="A717" t="s">
        <v>2491</v>
      </c>
      <c r="E717" s="42" t="s">
        <v>2492</v>
      </c>
      <c r="F717" s="43" t="s">
        <v>2493</v>
      </c>
      <c r="G717" s="14">
        <v>0</v>
      </c>
      <c r="H717" s="2"/>
      <c r="I717" s="19"/>
      <c r="J717" s="14">
        <v>0</v>
      </c>
      <c r="K717" s="2"/>
      <c r="L717" s="19"/>
      <c r="M717" s="14">
        <v>0</v>
      </c>
      <c r="N717" s="2"/>
      <c r="O717" s="14">
        <v>0</v>
      </c>
      <c r="P717" s="2"/>
      <c r="Q717" s="14">
        <v>0</v>
      </c>
      <c r="R717" s="2"/>
      <c r="S717" s="44">
        <f>[1]!DDIFF(0,0)</f>
        <v>0</v>
      </c>
      <c r="T717" s="2"/>
      <c r="U717" s="1"/>
      <c r="V717" s="62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</row>
    <row r="718" spans="1:67" collapsed="1" x14ac:dyDescent="0.25">
      <c r="A718" t="s">
        <v>2494</v>
      </c>
      <c r="E718" s="42" t="s">
        <v>2495</v>
      </c>
      <c r="F718" s="43" t="s">
        <v>2496</v>
      </c>
      <c r="G718" s="14">
        <v>-24888</v>
      </c>
      <c r="H718" s="2"/>
      <c r="I718" s="19"/>
      <c r="J718" s="14">
        <v>0</v>
      </c>
      <c r="K718" s="2"/>
      <c r="L718" s="19"/>
      <c r="M718" s="14">
        <v>-38576</v>
      </c>
      <c r="N718" s="2"/>
      <c r="O718" s="14">
        <v>-63464</v>
      </c>
      <c r="P718" s="55" t="s">
        <v>2863</v>
      </c>
      <c r="Q718" s="14">
        <v>-15103</v>
      </c>
      <c r="R718" s="2"/>
      <c r="S718" s="44">
        <f>[1]!DDIFF(-15103,-63464)</f>
        <v>-48361</v>
      </c>
      <c r="T718" s="2"/>
      <c r="U718" s="1"/>
      <c r="V718" s="62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</row>
    <row r="719" spans="1:67" hidden="1" outlineLevel="1" x14ac:dyDescent="0.25">
      <c r="A719" t="s">
        <v>2852</v>
      </c>
      <c r="E719" s="7"/>
      <c r="F719" s="10"/>
      <c r="G719" s="14"/>
      <c r="H719" s="2"/>
      <c r="I719" s="19"/>
      <c r="J719" s="14"/>
      <c r="K719" s="2"/>
      <c r="L719" s="54" t="s">
        <v>2840</v>
      </c>
      <c r="M719" s="14">
        <v>-38576</v>
      </c>
      <c r="N719" s="2"/>
      <c r="O719" s="14"/>
      <c r="P719" s="2"/>
      <c r="Q719" s="14"/>
      <c r="R719" s="2"/>
      <c r="S719" s="14"/>
      <c r="T719" s="2"/>
      <c r="U719" s="1"/>
      <c r="V719" s="62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</row>
    <row r="720" spans="1:67" hidden="1" x14ac:dyDescent="0.25">
      <c r="A720" t="s">
        <v>2500</v>
      </c>
      <c r="E720" s="42" t="s">
        <v>2501</v>
      </c>
      <c r="F720" s="43" t="s">
        <v>2502</v>
      </c>
      <c r="G720" s="14">
        <v>0</v>
      </c>
      <c r="H720" s="2"/>
      <c r="I720" s="19"/>
      <c r="J720" s="14">
        <v>0</v>
      </c>
      <c r="K720" s="2"/>
      <c r="L720" s="19"/>
      <c r="M720" s="14">
        <v>0</v>
      </c>
      <c r="N720" s="2"/>
      <c r="O720" s="14">
        <v>0</v>
      </c>
      <c r="P720" s="2"/>
      <c r="Q720" s="14">
        <v>0</v>
      </c>
      <c r="R720" s="2"/>
      <c r="S720" s="44">
        <f>[1]!DDIFF(0,0)</f>
        <v>0</v>
      </c>
      <c r="T720" s="2"/>
      <c r="U720" s="1"/>
      <c r="V720" s="62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</row>
    <row r="721" spans="1:67" hidden="1" x14ac:dyDescent="0.25">
      <c r="A721" t="s">
        <v>2503</v>
      </c>
      <c r="E721" s="42" t="s">
        <v>2504</v>
      </c>
      <c r="F721" s="43" t="s">
        <v>2505</v>
      </c>
      <c r="G721" s="14">
        <v>0</v>
      </c>
      <c r="H721" s="2"/>
      <c r="I721" s="19"/>
      <c r="J721" s="14">
        <v>0</v>
      </c>
      <c r="K721" s="2"/>
      <c r="L721" s="19"/>
      <c r="M721" s="14">
        <v>0</v>
      </c>
      <c r="N721" s="2"/>
      <c r="O721" s="14">
        <v>0</v>
      </c>
      <c r="P721" s="2"/>
      <c r="Q721" s="14">
        <v>0</v>
      </c>
      <c r="R721" s="2"/>
      <c r="S721" s="44">
        <f>[1]!DDIFF(0,0)</f>
        <v>0</v>
      </c>
      <c r="T721" s="2"/>
      <c r="U721" s="1"/>
      <c r="V721" s="62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</row>
    <row r="722" spans="1:67" x14ac:dyDescent="0.25">
      <c r="A722" t="s">
        <v>2506</v>
      </c>
      <c r="E722" s="42" t="s">
        <v>2507</v>
      </c>
      <c r="F722" s="43" t="s">
        <v>2508</v>
      </c>
      <c r="G722" s="14">
        <v>-9419</v>
      </c>
      <c r="H722" s="2"/>
      <c r="I722" s="19"/>
      <c r="J722" s="14">
        <v>0</v>
      </c>
      <c r="K722" s="2"/>
      <c r="L722" s="19"/>
      <c r="M722" s="14">
        <v>0</v>
      </c>
      <c r="N722" s="2"/>
      <c r="O722" s="14">
        <v>-9419</v>
      </c>
      <c r="P722" s="57" t="s">
        <v>2868</v>
      </c>
      <c r="Q722" s="14">
        <v>-7400</v>
      </c>
      <c r="R722" s="2"/>
      <c r="S722" s="44">
        <f>[1]!DDIFF(-7400,-9419)</f>
        <v>-2019</v>
      </c>
      <c r="T722" s="2"/>
      <c r="U722" s="1"/>
      <c r="V722" s="62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</row>
    <row r="723" spans="1:67" collapsed="1" x14ac:dyDescent="0.25">
      <c r="A723" t="s">
        <v>2509</v>
      </c>
      <c r="E723" s="42" t="s">
        <v>2510</v>
      </c>
      <c r="F723" s="43" t="s">
        <v>2496</v>
      </c>
      <c r="G723" s="14">
        <v>-83888</v>
      </c>
      <c r="H723" s="2"/>
      <c r="I723" s="19"/>
      <c r="J723" s="14">
        <v>10007</v>
      </c>
      <c r="K723" s="2"/>
      <c r="L723" s="19"/>
      <c r="M723" s="14">
        <v>0</v>
      </c>
      <c r="N723" s="2"/>
      <c r="O723" s="14">
        <v>-73881</v>
      </c>
      <c r="P723" s="57" t="s">
        <v>2868</v>
      </c>
      <c r="Q723" s="14">
        <v>-33635</v>
      </c>
      <c r="R723" s="2"/>
      <c r="S723" s="44">
        <f>[1]!DDIFF(-33635,-73881)</f>
        <v>-40246</v>
      </c>
      <c r="T723" s="2"/>
      <c r="U723" s="1"/>
      <c r="V723" s="62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</row>
    <row r="724" spans="1:67" hidden="1" outlineLevel="1" x14ac:dyDescent="0.25">
      <c r="A724" t="s">
        <v>2835</v>
      </c>
      <c r="E724" s="7"/>
      <c r="F724" s="10"/>
      <c r="G724" s="14"/>
      <c r="H724" s="2"/>
      <c r="I724" s="54" t="s">
        <v>2834</v>
      </c>
      <c r="J724" s="14">
        <v>10007</v>
      </c>
      <c r="K724" s="2"/>
      <c r="L724" s="19"/>
      <c r="M724" s="14"/>
      <c r="N724" s="2"/>
      <c r="O724" s="14"/>
      <c r="P724" s="2"/>
      <c r="Q724" s="14"/>
      <c r="R724" s="2"/>
      <c r="S724" s="14"/>
      <c r="T724" s="2"/>
      <c r="U724" s="1"/>
      <c r="V724" s="62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</row>
    <row r="725" spans="1:67" hidden="1" x14ac:dyDescent="0.25">
      <c r="A725" t="s">
        <v>2513</v>
      </c>
      <c r="E725" s="42" t="s">
        <v>2514</v>
      </c>
      <c r="F725" s="43" t="s">
        <v>2515</v>
      </c>
      <c r="G725" s="14">
        <v>0</v>
      </c>
      <c r="H725" s="2"/>
      <c r="I725" s="19"/>
      <c r="J725" s="14">
        <v>0</v>
      </c>
      <c r="K725" s="2"/>
      <c r="L725" s="19"/>
      <c r="M725" s="14">
        <v>0</v>
      </c>
      <c r="N725" s="2"/>
      <c r="O725" s="14">
        <v>0</v>
      </c>
      <c r="P725" s="2"/>
      <c r="Q725" s="14">
        <v>0</v>
      </c>
      <c r="R725" s="2"/>
      <c r="S725" s="44">
        <f>[1]!DDIFF(0,0)</f>
        <v>0</v>
      </c>
      <c r="T725" s="2"/>
      <c r="U725" s="1"/>
      <c r="V725" s="62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</row>
    <row r="726" spans="1:67" hidden="1" x14ac:dyDescent="0.25">
      <c r="A726" t="s">
        <v>2516</v>
      </c>
      <c r="E726" s="42" t="s">
        <v>2517</v>
      </c>
      <c r="F726" s="43" t="s">
        <v>2518</v>
      </c>
      <c r="G726" s="14">
        <v>0</v>
      </c>
      <c r="H726" s="2"/>
      <c r="I726" s="19"/>
      <c r="J726" s="14">
        <v>0</v>
      </c>
      <c r="K726" s="2"/>
      <c r="L726" s="19"/>
      <c r="M726" s="14">
        <v>0</v>
      </c>
      <c r="N726" s="2"/>
      <c r="O726" s="14">
        <v>0</v>
      </c>
      <c r="P726" s="2"/>
      <c r="Q726" s="14">
        <v>0</v>
      </c>
      <c r="R726" s="2"/>
      <c r="S726" s="44">
        <f>[1]!DDIFF(0,0)</f>
        <v>0</v>
      </c>
      <c r="T726" s="2"/>
      <c r="U726" s="1"/>
      <c r="V726" s="62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</row>
    <row r="727" spans="1:67" hidden="1" x14ac:dyDescent="0.25">
      <c r="A727" t="s">
        <v>2519</v>
      </c>
      <c r="E727" s="42" t="s">
        <v>2520</v>
      </c>
      <c r="F727" s="43" t="s">
        <v>2521</v>
      </c>
      <c r="G727" s="14">
        <v>0</v>
      </c>
      <c r="H727" s="2"/>
      <c r="I727" s="19"/>
      <c r="J727" s="14">
        <v>0</v>
      </c>
      <c r="K727" s="2"/>
      <c r="L727" s="19"/>
      <c r="M727" s="14">
        <v>0</v>
      </c>
      <c r="N727" s="2"/>
      <c r="O727" s="14">
        <v>0</v>
      </c>
      <c r="P727" s="2"/>
      <c r="Q727" s="14">
        <v>0</v>
      </c>
      <c r="R727" s="2"/>
      <c r="S727" s="44">
        <f>[1]!DDIFF(0,0)</f>
        <v>0</v>
      </c>
      <c r="T727" s="2"/>
      <c r="U727" s="1"/>
      <c r="V727" s="62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</row>
    <row r="728" spans="1:67" collapsed="1" x14ac:dyDescent="0.25">
      <c r="A728" t="s">
        <v>2522</v>
      </c>
      <c r="E728" s="42" t="s">
        <v>2523</v>
      </c>
      <c r="F728" s="43" t="s">
        <v>2496</v>
      </c>
      <c r="G728" s="14">
        <v>0</v>
      </c>
      <c r="H728" s="2"/>
      <c r="I728" s="19"/>
      <c r="J728" s="14">
        <v>0</v>
      </c>
      <c r="K728" s="2"/>
      <c r="L728" s="19"/>
      <c r="M728" s="14">
        <v>-14960</v>
      </c>
      <c r="N728" s="2"/>
      <c r="O728" s="14">
        <v>-14960</v>
      </c>
      <c r="P728" s="55" t="s">
        <v>2863</v>
      </c>
      <c r="Q728" s="14">
        <v>0</v>
      </c>
      <c r="R728" s="2"/>
      <c r="S728" s="44">
        <f>[1]!DDIFF(0,-14960)</f>
        <v>-14960</v>
      </c>
      <c r="T728" s="2"/>
      <c r="U728" s="1"/>
      <c r="V728" s="62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</row>
    <row r="729" spans="1:67" hidden="1" outlineLevel="1" x14ac:dyDescent="0.25">
      <c r="A729" t="s">
        <v>2791</v>
      </c>
      <c r="E729" s="7"/>
      <c r="F729" s="10"/>
      <c r="G729" s="14"/>
      <c r="H729" s="2"/>
      <c r="I729" s="19"/>
      <c r="J729" s="14"/>
      <c r="K729" s="2"/>
      <c r="L729" s="54" t="s">
        <v>2789</v>
      </c>
      <c r="M729" s="14">
        <v>-14960</v>
      </c>
      <c r="N729" s="2"/>
      <c r="O729" s="14"/>
      <c r="P729" s="2"/>
      <c r="Q729" s="14"/>
      <c r="R729" s="2"/>
      <c r="S729" s="14"/>
      <c r="T729" s="2"/>
      <c r="U729" s="1"/>
      <c r="V729" s="62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</row>
    <row r="730" spans="1:67" x14ac:dyDescent="0.25">
      <c r="A730" t="s">
        <v>2616</v>
      </c>
      <c r="E730" s="45" t="s">
        <v>2617</v>
      </c>
      <c r="F730" s="46" t="s">
        <v>2615</v>
      </c>
      <c r="G730" s="15">
        <v>-118195</v>
      </c>
      <c r="H730" s="3"/>
      <c r="I730" s="20"/>
      <c r="J730" s="15">
        <v>10007</v>
      </c>
      <c r="K730" s="3"/>
      <c r="L730" s="20"/>
      <c r="M730" s="15">
        <v>-53536</v>
      </c>
      <c r="N730" s="3"/>
      <c r="O730" s="15">
        <v>-161724</v>
      </c>
      <c r="P730" s="3"/>
      <c r="Q730" s="15">
        <v>-56138</v>
      </c>
      <c r="R730" s="3"/>
      <c r="S730" s="47">
        <f>[1]!DDIFF(-56138,-161724)</f>
        <v>-105586</v>
      </c>
      <c r="T730" s="3"/>
      <c r="U730" s="1"/>
      <c r="V730" s="62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</row>
    <row r="731" spans="1:67" x14ac:dyDescent="0.25">
      <c r="A731" t="s">
        <v>2618</v>
      </c>
      <c r="H731" s="1"/>
      <c r="K731" s="1"/>
      <c r="N731" s="1"/>
      <c r="P731" s="1"/>
      <c r="R731" s="1"/>
      <c r="T731" s="1"/>
      <c r="U731" s="1"/>
      <c r="V731" s="62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</row>
    <row r="732" spans="1:67" hidden="1" x14ac:dyDescent="0.25">
      <c r="A732" t="s">
        <v>1424</v>
      </c>
      <c r="E732" s="40" t="s">
        <v>190</v>
      </c>
      <c r="F732" s="11"/>
      <c r="H732" s="1"/>
      <c r="K732" s="1"/>
      <c r="N732" s="1"/>
      <c r="P732" s="1"/>
      <c r="R732" s="1"/>
      <c r="T732" s="1"/>
      <c r="U732" s="1"/>
      <c r="V732" s="62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</row>
    <row r="733" spans="1:67" hidden="1" x14ac:dyDescent="0.25">
      <c r="A733" t="s">
        <v>1425</v>
      </c>
      <c r="E733" s="45" t="s">
        <v>192</v>
      </c>
      <c r="F733" s="12"/>
      <c r="G733" s="15">
        <v>0</v>
      </c>
      <c r="H733" s="3"/>
      <c r="I733" s="20"/>
      <c r="J733" s="15">
        <v>0</v>
      </c>
      <c r="K733" s="3"/>
      <c r="L733" s="20"/>
      <c r="M733" s="15">
        <v>0</v>
      </c>
      <c r="N733" s="3"/>
      <c r="O733" s="15">
        <v>0</v>
      </c>
      <c r="P733" s="3"/>
      <c r="Q733" s="15">
        <v>0</v>
      </c>
      <c r="R733" s="3"/>
      <c r="S733" s="47">
        <f>[1]!DDIFF(0,0)</f>
        <v>0</v>
      </c>
      <c r="T733" s="3"/>
      <c r="U733" s="1"/>
      <c r="V733" s="62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</row>
    <row r="734" spans="1:67" ht="15.75" thickBot="1" x14ac:dyDescent="0.3">
      <c r="A734" t="s">
        <v>1426</v>
      </c>
      <c r="E734" s="48" t="s">
        <v>1427</v>
      </c>
      <c r="F734" s="49" t="s">
        <v>1268</v>
      </c>
      <c r="G734" s="16">
        <v>-10560874</v>
      </c>
      <c r="H734" s="4"/>
      <c r="I734" s="21"/>
      <c r="J734" s="16">
        <v>1253</v>
      </c>
      <c r="K734" s="4"/>
      <c r="L734" s="21"/>
      <c r="M734" s="16">
        <v>-38576</v>
      </c>
      <c r="N734" s="4"/>
      <c r="O734" s="16">
        <v>-10598197</v>
      </c>
      <c r="P734" s="4"/>
      <c r="Q734" s="16">
        <v>-8723311</v>
      </c>
      <c r="R734" s="4"/>
      <c r="S734" s="50">
        <f>[1]!DDIFF(-8723311,-10598197)</f>
        <v>-1874886</v>
      </c>
      <c r="T734" s="4"/>
      <c r="U734" s="1"/>
      <c r="V734" s="62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</row>
    <row r="735" spans="1:67" ht="15.75" thickTop="1" x14ac:dyDescent="0.25">
      <c r="A735" t="s">
        <v>1428</v>
      </c>
      <c r="H735" s="1"/>
      <c r="K735" s="1"/>
      <c r="N735" s="1"/>
      <c r="P735" s="1"/>
      <c r="R735" s="1"/>
      <c r="T735" s="1"/>
      <c r="U735" s="1"/>
      <c r="V735" s="62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</row>
    <row r="736" spans="1:67" x14ac:dyDescent="0.25">
      <c r="A736" t="s">
        <v>1429</v>
      </c>
      <c r="E736" s="38" t="s">
        <v>2619</v>
      </c>
      <c r="F736" s="39" t="s">
        <v>2620</v>
      </c>
      <c r="H736" s="1"/>
      <c r="K736" s="1"/>
      <c r="N736" s="1"/>
      <c r="P736" s="1"/>
      <c r="R736" s="1"/>
      <c r="T736" s="1"/>
      <c r="U736" s="1"/>
      <c r="V736" s="62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</row>
    <row r="737" spans="1:67" x14ac:dyDescent="0.25">
      <c r="A737" t="s">
        <v>1430</v>
      </c>
      <c r="E737" s="40" t="s">
        <v>2621</v>
      </c>
      <c r="F737" s="41" t="s">
        <v>2622</v>
      </c>
      <c r="H737" s="1"/>
      <c r="K737" s="1"/>
      <c r="N737" s="1"/>
      <c r="P737" s="1"/>
      <c r="R737" s="1"/>
      <c r="T737" s="1"/>
      <c r="U737" s="1"/>
      <c r="V737" s="62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</row>
    <row r="738" spans="1:67" hidden="1" x14ac:dyDescent="0.25">
      <c r="A738" t="s">
        <v>1437</v>
      </c>
      <c r="E738" s="42" t="s">
        <v>1438</v>
      </c>
      <c r="F738" s="43" t="s">
        <v>1439</v>
      </c>
      <c r="G738" s="14">
        <v>0</v>
      </c>
      <c r="H738" s="2"/>
      <c r="I738" s="19"/>
      <c r="J738" s="14">
        <v>0</v>
      </c>
      <c r="K738" s="2"/>
      <c r="L738" s="19"/>
      <c r="M738" s="14">
        <v>0</v>
      </c>
      <c r="N738" s="2"/>
      <c r="O738" s="14">
        <v>0</v>
      </c>
      <c r="P738" s="2"/>
      <c r="Q738" s="14">
        <v>0</v>
      </c>
      <c r="R738" s="2"/>
      <c r="S738" s="44">
        <f>[1]!DDIFF(0,0)</f>
        <v>0</v>
      </c>
      <c r="T738" s="2"/>
      <c r="U738" s="1"/>
      <c r="V738" s="62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</row>
    <row r="739" spans="1:67" hidden="1" x14ac:dyDescent="0.25">
      <c r="A739" t="s">
        <v>1440</v>
      </c>
      <c r="E739" s="42" t="s">
        <v>1441</v>
      </c>
      <c r="F739" s="43" t="s">
        <v>1442</v>
      </c>
      <c r="G739" s="14">
        <v>0</v>
      </c>
      <c r="H739" s="2"/>
      <c r="I739" s="19"/>
      <c r="J739" s="14">
        <v>0</v>
      </c>
      <c r="K739" s="2"/>
      <c r="L739" s="19"/>
      <c r="M739" s="14">
        <v>0</v>
      </c>
      <c r="N739" s="2"/>
      <c r="O739" s="14">
        <v>0</v>
      </c>
      <c r="P739" s="2"/>
      <c r="Q739" s="14">
        <v>0</v>
      </c>
      <c r="R739" s="2"/>
      <c r="S739" s="44">
        <f>[1]!DDIFF(0,0)</f>
        <v>0</v>
      </c>
      <c r="T739" s="2"/>
      <c r="U739" s="1"/>
      <c r="V739" s="62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</row>
    <row r="740" spans="1:67" hidden="1" x14ac:dyDescent="0.25">
      <c r="A740" t="s">
        <v>1443</v>
      </c>
      <c r="E740" s="42" t="s">
        <v>1444</v>
      </c>
      <c r="F740" s="43" t="s">
        <v>1445</v>
      </c>
      <c r="G740" s="14">
        <v>0</v>
      </c>
      <c r="H740" s="2"/>
      <c r="I740" s="19"/>
      <c r="J740" s="14">
        <v>0</v>
      </c>
      <c r="K740" s="2"/>
      <c r="L740" s="19"/>
      <c r="M740" s="14">
        <v>0</v>
      </c>
      <c r="N740" s="2"/>
      <c r="O740" s="14">
        <v>0</v>
      </c>
      <c r="P740" s="2"/>
      <c r="Q740" s="14">
        <v>0</v>
      </c>
      <c r="R740" s="2"/>
      <c r="S740" s="44">
        <f>[1]!DDIFF(0,0)</f>
        <v>0</v>
      </c>
      <c r="T740" s="2"/>
      <c r="U740" s="1"/>
      <c r="V740" s="62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</row>
    <row r="741" spans="1:67" collapsed="1" x14ac:dyDescent="0.25">
      <c r="A741" t="s">
        <v>1446</v>
      </c>
      <c r="E741" s="42" t="s">
        <v>1447</v>
      </c>
      <c r="F741" s="43" t="s">
        <v>1448</v>
      </c>
      <c r="G741" s="14">
        <v>0</v>
      </c>
      <c r="H741" s="2"/>
      <c r="I741" s="19"/>
      <c r="J741" s="14">
        <v>0</v>
      </c>
      <c r="K741" s="2"/>
      <c r="L741" s="19"/>
      <c r="M741" s="14">
        <v>4948</v>
      </c>
      <c r="N741" s="2"/>
      <c r="O741" s="14">
        <v>4948</v>
      </c>
      <c r="P741" s="55"/>
      <c r="Q741" s="14">
        <v>0</v>
      </c>
      <c r="R741" s="2"/>
      <c r="S741" s="44">
        <f>[1]!DDIFF(0,4948)</f>
        <v>4948</v>
      </c>
      <c r="T741" s="2"/>
      <c r="U741" s="1"/>
      <c r="V741" s="62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</row>
    <row r="742" spans="1:67" hidden="1" outlineLevel="1" x14ac:dyDescent="0.25">
      <c r="A742" t="s">
        <v>2860</v>
      </c>
      <c r="E742" s="7"/>
      <c r="F742" s="10"/>
      <c r="G742" s="14"/>
      <c r="H742" s="2"/>
      <c r="I742" s="19"/>
      <c r="J742" s="14"/>
      <c r="K742" s="2"/>
      <c r="L742" s="54" t="s">
        <v>2840</v>
      </c>
      <c r="M742" s="14">
        <v>4948</v>
      </c>
      <c r="N742" s="2"/>
      <c r="O742" s="14"/>
      <c r="P742" s="55" t="s">
        <v>2863</v>
      </c>
      <c r="Q742" s="14"/>
      <c r="R742" s="2"/>
      <c r="S742" s="14"/>
      <c r="T742" s="2"/>
      <c r="U742" s="1"/>
      <c r="V742" s="62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</row>
    <row r="743" spans="1:67" collapsed="1" x14ac:dyDescent="0.25">
      <c r="A743" t="s">
        <v>2688</v>
      </c>
      <c r="E743" s="42" t="s">
        <v>2689</v>
      </c>
      <c r="F743" s="43" t="s">
        <v>2690</v>
      </c>
      <c r="G743" s="14">
        <v>0</v>
      </c>
      <c r="H743" s="2"/>
      <c r="I743" s="19"/>
      <c r="J743" s="14">
        <v>0</v>
      </c>
      <c r="K743" s="2"/>
      <c r="L743" s="19"/>
      <c r="M743" s="14">
        <v>0</v>
      </c>
      <c r="N743" s="2"/>
      <c r="O743" s="14">
        <v>0</v>
      </c>
      <c r="P743" s="55" t="s">
        <v>2863</v>
      </c>
      <c r="Q743" s="14">
        <v>2874</v>
      </c>
      <c r="R743" s="2"/>
      <c r="S743" s="44">
        <f>[1]!DDIFF(2874,0)</f>
        <v>-2874</v>
      </c>
      <c r="T743" s="2"/>
      <c r="U743" s="1"/>
      <c r="V743" s="62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</row>
    <row r="744" spans="1:67" x14ac:dyDescent="0.25">
      <c r="A744" t="s">
        <v>1449</v>
      </c>
      <c r="E744" s="42" t="s">
        <v>1450</v>
      </c>
      <c r="F744" s="43" t="s">
        <v>1433</v>
      </c>
      <c r="G744" s="14">
        <v>389585</v>
      </c>
      <c r="H744" s="2"/>
      <c r="I744" s="19"/>
      <c r="J744" s="14">
        <v>0</v>
      </c>
      <c r="K744" s="2"/>
      <c r="L744" s="19"/>
      <c r="M744" s="14">
        <v>0</v>
      </c>
      <c r="N744" s="2"/>
      <c r="O744" s="14">
        <v>389585</v>
      </c>
      <c r="P744" s="55" t="s">
        <v>2863</v>
      </c>
      <c r="Q744" s="14">
        <v>105554</v>
      </c>
      <c r="R744" s="2"/>
      <c r="S744" s="44">
        <f>[1]!DDIFF(105554,389585)</f>
        <v>284031</v>
      </c>
      <c r="T744" s="2"/>
      <c r="U744" s="1"/>
      <c r="V744" s="62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</row>
    <row r="745" spans="1:67" hidden="1" x14ac:dyDescent="0.25">
      <c r="A745" t="s">
        <v>1451</v>
      </c>
      <c r="E745" s="42" t="s">
        <v>1452</v>
      </c>
      <c r="F745" s="43" t="s">
        <v>1453</v>
      </c>
      <c r="G745" s="14">
        <v>0</v>
      </c>
      <c r="H745" s="2"/>
      <c r="I745" s="19"/>
      <c r="J745" s="14">
        <v>0</v>
      </c>
      <c r="K745" s="2"/>
      <c r="L745" s="19"/>
      <c r="M745" s="14">
        <v>0</v>
      </c>
      <c r="N745" s="2"/>
      <c r="O745" s="14">
        <v>0</v>
      </c>
      <c r="P745" s="55" t="s">
        <v>2863</v>
      </c>
      <c r="Q745" s="14">
        <v>0</v>
      </c>
      <c r="R745" s="2"/>
      <c r="S745" s="44">
        <f>[1]!DDIFF(0,0)</f>
        <v>0</v>
      </c>
      <c r="T745" s="2"/>
      <c r="U745" s="1"/>
      <c r="V745" s="62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</row>
    <row r="746" spans="1:67" hidden="1" x14ac:dyDescent="0.25">
      <c r="A746" t="s">
        <v>1454</v>
      </c>
      <c r="E746" s="42" t="s">
        <v>1455</v>
      </c>
      <c r="F746" s="43" t="s">
        <v>1456</v>
      </c>
      <c r="G746" s="14">
        <v>0</v>
      </c>
      <c r="H746" s="2"/>
      <c r="I746" s="19"/>
      <c r="J746" s="14">
        <v>0</v>
      </c>
      <c r="K746" s="2"/>
      <c r="L746" s="19"/>
      <c r="M746" s="14">
        <v>0</v>
      </c>
      <c r="N746" s="2"/>
      <c r="O746" s="14">
        <v>0</v>
      </c>
      <c r="P746" s="55" t="s">
        <v>2863</v>
      </c>
      <c r="Q746" s="14">
        <v>0</v>
      </c>
      <c r="R746" s="2"/>
      <c r="S746" s="44">
        <f>[1]!DDIFF(0,0)</f>
        <v>0</v>
      </c>
      <c r="T746" s="2"/>
      <c r="U746" s="1"/>
      <c r="V746" s="62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</row>
    <row r="747" spans="1:67" hidden="1" x14ac:dyDescent="0.25">
      <c r="A747" t="s">
        <v>1457</v>
      </c>
      <c r="E747" s="42" t="s">
        <v>1458</v>
      </c>
      <c r="F747" s="43" t="s">
        <v>1459</v>
      </c>
      <c r="G747" s="14">
        <v>0</v>
      </c>
      <c r="H747" s="2"/>
      <c r="I747" s="19"/>
      <c r="J747" s="14">
        <v>0</v>
      </c>
      <c r="K747" s="2"/>
      <c r="L747" s="19"/>
      <c r="M747" s="14">
        <v>0</v>
      </c>
      <c r="N747" s="2"/>
      <c r="O747" s="14">
        <v>0</v>
      </c>
      <c r="P747" s="55" t="s">
        <v>2863</v>
      </c>
      <c r="Q747" s="14">
        <v>0</v>
      </c>
      <c r="R747" s="2"/>
      <c r="S747" s="44">
        <f>[1]!DDIFF(0,0)</f>
        <v>0</v>
      </c>
      <c r="T747" s="2"/>
      <c r="U747" s="1"/>
      <c r="V747" s="62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</row>
    <row r="748" spans="1:67" collapsed="1" x14ac:dyDescent="0.25">
      <c r="A748" t="s">
        <v>1460</v>
      </c>
      <c r="E748" s="42" t="s">
        <v>1461</v>
      </c>
      <c r="F748" s="43" t="s">
        <v>1462</v>
      </c>
      <c r="G748" s="14">
        <v>134470</v>
      </c>
      <c r="H748" s="2"/>
      <c r="I748" s="19"/>
      <c r="J748" s="14">
        <v>73</v>
      </c>
      <c r="K748" s="2"/>
      <c r="L748" s="19"/>
      <c r="M748" s="14">
        <v>0</v>
      </c>
      <c r="N748" s="2"/>
      <c r="O748" s="14">
        <v>134543</v>
      </c>
      <c r="P748" s="55" t="s">
        <v>2863</v>
      </c>
      <c r="Q748" s="14">
        <v>67395</v>
      </c>
      <c r="R748" s="2"/>
      <c r="S748" s="44">
        <f>[1]!DDIFF(67395,134543)</f>
        <v>67148</v>
      </c>
      <c r="T748" s="2"/>
      <c r="U748" s="1"/>
      <c r="V748" s="62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</row>
    <row r="749" spans="1:67" hidden="1" outlineLevel="1" x14ac:dyDescent="0.25">
      <c r="A749" t="s">
        <v>2706</v>
      </c>
      <c r="E749" s="7"/>
      <c r="F749" s="10"/>
      <c r="G749" s="14"/>
      <c r="H749" s="2"/>
      <c r="I749" s="54" t="s">
        <v>2701</v>
      </c>
      <c r="J749" s="14">
        <v>-51</v>
      </c>
      <c r="K749" s="2"/>
      <c r="L749" s="19"/>
      <c r="M749" s="14"/>
      <c r="N749" s="2"/>
      <c r="O749" s="14"/>
      <c r="P749" s="55" t="s">
        <v>2863</v>
      </c>
      <c r="Q749" s="14"/>
      <c r="R749" s="2"/>
      <c r="S749" s="14"/>
      <c r="T749" s="2"/>
      <c r="U749" s="1"/>
      <c r="V749" s="62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</row>
    <row r="750" spans="1:67" hidden="1" outlineLevel="1" x14ac:dyDescent="0.25">
      <c r="A750" t="s">
        <v>2747</v>
      </c>
      <c r="E750" s="7"/>
      <c r="F750" s="10"/>
      <c r="G750" s="14"/>
      <c r="H750" s="2"/>
      <c r="I750" s="54" t="s">
        <v>2736</v>
      </c>
      <c r="J750" s="14">
        <v>124</v>
      </c>
      <c r="K750" s="2"/>
      <c r="L750" s="19"/>
      <c r="M750" s="14"/>
      <c r="N750" s="2"/>
      <c r="O750" s="14"/>
      <c r="P750" s="55" t="s">
        <v>2863</v>
      </c>
      <c r="Q750" s="14"/>
      <c r="R750" s="2"/>
      <c r="S750" s="14"/>
      <c r="T750" s="2"/>
      <c r="U750" s="1"/>
      <c r="V750" s="62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</row>
    <row r="751" spans="1:67" collapsed="1" x14ac:dyDescent="0.25">
      <c r="A751" t="s">
        <v>1463</v>
      </c>
      <c r="E751" s="42" t="s">
        <v>1464</v>
      </c>
      <c r="F751" s="43" t="s">
        <v>1465</v>
      </c>
      <c r="G751" s="14">
        <v>26742</v>
      </c>
      <c r="H751" s="2"/>
      <c r="I751" s="19"/>
      <c r="J751" s="14">
        <v>3086</v>
      </c>
      <c r="K751" s="2"/>
      <c r="L751" s="19"/>
      <c r="M751" s="14">
        <v>0</v>
      </c>
      <c r="N751" s="2"/>
      <c r="O751" s="14">
        <v>29828</v>
      </c>
      <c r="P751" s="55" t="s">
        <v>2863</v>
      </c>
      <c r="Q751" s="14">
        <v>20668</v>
      </c>
      <c r="R751" s="2"/>
      <c r="S751" s="44">
        <f>[1]!DDIFF(20668,29828)</f>
        <v>9160</v>
      </c>
      <c r="T751" s="2"/>
      <c r="U751" s="1"/>
      <c r="V751" s="62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</row>
    <row r="752" spans="1:67" hidden="1" outlineLevel="1" x14ac:dyDescent="0.25">
      <c r="A752" t="s">
        <v>2748</v>
      </c>
      <c r="E752" s="7"/>
      <c r="F752" s="10"/>
      <c r="G752" s="14"/>
      <c r="H752" s="2"/>
      <c r="I752" s="54" t="s">
        <v>2736</v>
      </c>
      <c r="J752" s="14">
        <v>3086</v>
      </c>
      <c r="K752" s="2"/>
      <c r="L752" s="19"/>
      <c r="M752" s="14"/>
      <c r="N752" s="2"/>
      <c r="O752" s="14"/>
      <c r="P752" s="55" t="s">
        <v>2863</v>
      </c>
      <c r="Q752" s="14"/>
      <c r="R752" s="2"/>
      <c r="S752" s="14"/>
      <c r="T752" s="2"/>
      <c r="U752" s="1"/>
      <c r="V752" s="62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</row>
    <row r="753" spans="1:67" collapsed="1" x14ac:dyDescent="0.25">
      <c r="A753" t="s">
        <v>1466</v>
      </c>
      <c r="E753" s="42" t="s">
        <v>1467</v>
      </c>
      <c r="F753" s="43" t="s">
        <v>1468</v>
      </c>
      <c r="G753" s="14">
        <v>62203</v>
      </c>
      <c r="H753" s="2"/>
      <c r="I753" s="19"/>
      <c r="J753" s="14">
        <v>0</v>
      </c>
      <c r="K753" s="2"/>
      <c r="L753" s="19"/>
      <c r="M753" s="14">
        <v>0</v>
      </c>
      <c r="N753" s="2"/>
      <c r="O753" s="14">
        <v>62203</v>
      </c>
      <c r="P753" s="55" t="s">
        <v>2863</v>
      </c>
      <c r="Q753" s="14">
        <v>76897</v>
      </c>
      <c r="R753" s="2"/>
      <c r="S753" s="44">
        <f>[1]!DDIFF(76897,62203)</f>
        <v>-14694</v>
      </c>
      <c r="T753" s="2"/>
      <c r="U753" s="1"/>
      <c r="V753" s="62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</row>
    <row r="754" spans="1:67" hidden="1" x14ac:dyDescent="0.25">
      <c r="A754" t="s">
        <v>1469</v>
      </c>
      <c r="E754" s="42" t="s">
        <v>1470</v>
      </c>
      <c r="F754" s="43" t="s">
        <v>1471</v>
      </c>
      <c r="G754" s="14">
        <v>0</v>
      </c>
      <c r="H754" s="2"/>
      <c r="I754" s="19"/>
      <c r="J754" s="14">
        <v>0</v>
      </c>
      <c r="K754" s="2"/>
      <c r="L754" s="19"/>
      <c r="M754" s="14">
        <v>0</v>
      </c>
      <c r="N754" s="2"/>
      <c r="O754" s="14">
        <v>0</v>
      </c>
      <c r="P754" s="55" t="s">
        <v>2863</v>
      </c>
      <c r="Q754" s="14">
        <v>0</v>
      </c>
      <c r="R754" s="2"/>
      <c r="S754" s="44">
        <f>[1]!DDIFF(0,0)</f>
        <v>0</v>
      </c>
      <c r="T754" s="2"/>
      <c r="U754" s="1"/>
      <c r="V754" s="62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</row>
    <row r="755" spans="1:67" hidden="1" x14ac:dyDescent="0.25">
      <c r="A755" t="s">
        <v>1472</v>
      </c>
      <c r="E755" s="42" t="s">
        <v>1473</v>
      </c>
      <c r="F755" s="43" t="s">
        <v>1474</v>
      </c>
      <c r="G755" s="14">
        <v>0</v>
      </c>
      <c r="H755" s="2"/>
      <c r="I755" s="19"/>
      <c r="J755" s="14">
        <v>0</v>
      </c>
      <c r="K755" s="2"/>
      <c r="L755" s="19"/>
      <c r="M755" s="14">
        <v>0</v>
      </c>
      <c r="N755" s="2"/>
      <c r="O755" s="14">
        <v>0</v>
      </c>
      <c r="P755" s="55" t="s">
        <v>2863</v>
      </c>
      <c r="Q755" s="14">
        <v>0</v>
      </c>
      <c r="R755" s="2"/>
      <c r="S755" s="44">
        <f>[1]!DDIFF(0,0)</f>
        <v>0</v>
      </c>
      <c r="T755" s="2"/>
      <c r="U755" s="1"/>
      <c r="V755" s="62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</row>
    <row r="756" spans="1:67" collapsed="1" x14ac:dyDescent="0.25">
      <c r="A756" t="s">
        <v>1478</v>
      </c>
      <c r="E756" s="42" t="s">
        <v>1479</v>
      </c>
      <c r="F756" s="43" t="s">
        <v>1480</v>
      </c>
      <c r="G756" s="14">
        <v>396209</v>
      </c>
      <c r="H756" s="2"/>
      <c r="I756" s="19"/>
      <c r="J756" s="14">
        <v>50907</v>
      </c>
      <c r="K756" s="2"/>
      <c r="L756" s="19"/>
      <c r="M756" s="14">
        <v>0</v>
      </c>
      <c r="N756" s="2"/>
      <c r="O756" s="14">
        <v>447116</v>
      </c>
      <c r="P756" s="55" t="s">
        <v>2863</v>
      </c>
      <c r="Q756" s="14">
        <v>365722</v>
      </c>
      <c r="R756" s="2"/>
      <c r="S756" s="44">
        <f>[1]!DDIFF(365722,447116)</f>
        <v>81394</v>
      </c>
      <c r="T756" s="2"/>
      <c r="U756" s="1"/>
      <c r="V756" s="62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</row>
    <row r="757" spans="1:67" hidden="1" outlineLevel="1" x14ac:dyDescent="0.25">
      <c r="A757" t="s">
        <v>2707</v>
      </c>
      <c r="E757" s="7"/>
      <c r="F757" s="10"/>
      <c r="G757" s="14"/>
      <c r="H757" s="2"/>
      <c r="I757" s="54" t="s">
        <v>2701</v>
      </c>
      <c r="J757" s="14">
        <v>-2050</v>
      </c>
      <c r="K757" s="2"/>
      <c r="L757" s="19"/>
      <c r="M757" s="14"/>
      <c r="N757" s="2"/>
      <c r="O757" s="14"/>
      <c r="P757" s="55" t="s">
        <v>2863</v>
      </c>
      <c r="Q757" s="14"/>
      <c r="R757" s="2"/>
      <c r="S757" s="14"/>
      <c r="T757" s="2"/>
      <c r="U757" s="1"/>
      <c r="V757" s="62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</row>
    <row r="758" spans="1:67" hidden="1" outlineLevel="1" x14ac:dyDescent="0.25">
      <c r="A758" t="s">
        <v>2749</v>
      </c>
      <c r="E758" s="7"/>
      <c r="F758" s="10"/>
      <c r="G758" s="14"/>
      <c r="H758" s="2"/>
      <c r="I758" s="54" t="s">
        <v>2736</v>
      </c>
      <c r="J758" s="14">
        <v>52957</v>
      </c>
      <c r="K758" s="2"/>
      <c r="L758" s="19"/>
      <c r="M758" s="14"/>
      <c r="N758" s="2"/>
      <c r="O758" s="14"/>
      <c r="P758" s="55" t="s">
        <v>2863</v>
      </c>
      <c r="Q758" s="14"/>
      <c r="R758" s="2"/>
      <c r="S758" s="14"/>
      <c r="T758" s="2"/>
      <c r="U758" s="1"/>
      <c r="V758" s="62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</row>
    <row r="759" spans="1:67" hidden="1" x14ac:dyDescent="0.25">
      <c r="A759" t="s">
        <v>1481</v>
      </c>
      <c r="E759" s="42" t="s">
        <v>1482</v>
      </c>
      <c r="F759" s="43" t="s">
        <v>1483</v>
      </c>
      <c r="G759" s="14">
        <v>0</v>
      </c>
      <c r="H759" s="2"/>
      <c r="I759" s="19"/>
      <c r="J759" s="14">
        <v>0</v>
      </c>
      <c r="K759" s="2"/>
      <c r="L759" s="19"/>
      <c r="M759" s="14">
        <v>0</v>
      </c>
      <c r="N759" s="2"/>
      <c r="O759" s="14">
        <v>0</v>
      </c>
      <c r="P759" s="55" t="s">
        <v>2863</v>
      </c>
      <c r="Q759" s="14">
        <v>0</v>
      </c>
      <c r="R759" s="2"/>
      <c r="S759" s="44">
        <f>[1]!DDIFF(0,0)</f>
        <v>0</v>
      </c>
      <c r="T759" s="2"/>
      <c r="U759" s="1"/>
      <c r="V759" s="62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</row>
    <row r="760" spans="1:67" x14ac:dyDescent="0.25">
      <c r="A760" t="s">
        <v>1484</v>
      </c>
      <c r="E760" s="42" t="s">
        <v>1485</v>
      </c>
      <c r="F760" s="43" t="s">
        <v>1486</v>
      </c>
      <c r="G760" s="14">
        <v>2451</v>
      </c>
      <c r="H760" s="2"/>
      <c r="I760" s="19"/>
      <c r="J760" s="14">
        <v>0</v>
      </c>
      <c r="K760" s="2"/>
      <c r="L760" s="19"/>
      <c r="M760" s="14">
        <v>0</v>
      </c>
      <c r="N760" s="2"/>
      <c r="O760" s="14">
        <v>2451</v>
      </c>
      <c r="P760" s="55" t="s">
        <v>2863</v>
      </c>
      <c r="Q760" s="14">
        <v>0</v>
      </c>
      <c r="R760" s="2"/>
      <c r="S760" s="44">
        <f>[1]!DDIFF(0,2451)</f>
        <v>2451</v>
      </c>
      <c r="T760" s="2"/>
      <c r="U760" s="1"/>
      <c r="V760" s="62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</row>
    <row r="761" spans="1:67" hidden="1" x14ac:dyDescent="0.25">
      <c r="A761" t="s">
        <v>1487</v>
      </c>
      <c r="E761" s="42" t="s">
        <v>1488</v>
      </c>
      <c r="F761" s="43" t="s">
        <v>656</v>
      </c>
      <c r="G761" s="14">
        <v>0</v>
      </c>
      <c r="H761" s="2"/>
      <c r="I761" s="19"/>
      <c r="J761" s="14">
        <v>0</v>
      </c>
      <c r="K761" s="2"/>
      <c r="L761" s="19"/>
      <c r="M761" s="14">
        <v>0</v>
      </c>
      <c r="N761" s="2"/>
      <c r="O761" s="14">
        <v>0</v>
      </c>
      <c r="P761" s="55" t="s">
        <v>2863</v>
      </c>
      <c r="Q761" s="14">
        <v>0</v>
      </c>
      <c r="R761" s="2"/>
      <c r="S761" s="44">
        <f>[1]!DDIFF(0,0)</f>
        <v>0</v>
      </c>
      <c r="T761" s="2"/>
      <c r="U761" s="1"/>
      <c r="V761" s="62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</row>
    <row r="762" spans="1:67" hidden="1" x14ac:dyDescent="0.25">
      <c r="A762" t="s">
        <v>1489</v>
      </c>
      <c r="E762" s="42" t="s">
        <v>1490</v>
      </c>
      <c r="F762" s="43" t="s">
        <v>1491</v>
      </c>
      <c r="G762" s="14">
        <v>0</v>
      </c>
      <c r="H762" s="2"/>
      <c r="I762" s="19"/>
      <c r="J762" s="14">
        <v>0</v>
      </c>
      <c r="K762" s="2"/>
      <c r="L762" s="19"/>
      <c r="M762" s="14">
        <v>0</v>
      </c>
      <c r="N762" s="2"/>
      <c r="O762" s="14">
        <v>0</v>
      </c>
      <c r="P762" s="55" t="s">
        <v>2863</v>
      </c>
      <c r="Q762" s="14">
        <v>0</v>
      </c>
      <c r="R762" s="2"/>
      <c r="S762" s="44">
        <f>[1]!DDIFF(0,0)</f>
        <v>0</v>
      </c>
      <c r="T762" s="2"/>
      <c r="U762" s="1"/>
      <c r="V762" s="62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</row>
    <row r="763" spans="1:67" collapsed="1" x14ac:dyDescent="0.25">
      <c r="A763" t="s">
        <v>1492</v>
      </c>
      <c r="E763" s="42" t="s">
        <v>1493</v>
      </c>
      <c r="F763" s="43" t="s">
        <v>1494</v>
      </c>
      <c r="G763" s="14">
        <v>222631</v>
      </c>
      <c r="H763" s="2"/>
      <c r="I763" s="19"/>
      <c r="J763" s="14">
        <v>4503</v>
      </c>
      <c r="K763" s="2"/>
      <c r="L763" s="19"/>
      <c r="M763" s="14">
        <v>0</v>
      </c>
      <c r="N763" s="2"/>
      <c r="O763" s="14">
        <v>227134</v>
      </c>
      <c r="P763" s="55" t="s">
        <v>2863</v>
      </c>
      <c r="Q763" s="14">
        <v>153275</v>
      </c>
      <c r="R763" s="2"/>
      <c r="S763" s="44">
        <f>[1]!DDIFF(153275,227134)</f>
        <v>73859</v>
      </c>
      <c r="T763" s="2"/>
      <c r="U763" s="1"/>
      <c r="V763" s="62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</row>
    <row r="764" spans="1:67" hidden="1" outlineLevel="1" x14ac:dyDescent="0.25">
      <c r="A764" t="s">
        <v>2750</v>
      </c>
      <c r="E764" s="7"/>
      <c r="F764" s="10"/>
      <c r="G764" s="14"/>
      <c r="H764" s="2"/>
      <c r="I764" s="54" t="s">
        <v>2736</v>
      </c>
      <c r="J764" s="14">
        <v>4503</v>
      </c>
      <c r="K764" s="2"/>
      <c r="L764" s="19"/>
      <c r="M764" s="14"/>
      <c r="N764" s="2"/>
      <c r="O764" s="14"/>
      <c r="P764" s="55" t="s">
        <v>2863</v>
      </c>
      <c r="Q764" s="14"/>
      <c r="R764" s="2"/>
      <c r="S764" s="14"/>
      <c r="T764" s="2"/>
      <c r="U764" s="1"/>
      <c r="V764" s="62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</row>
    <row r="765" spans="1:67" x14ac:dyDescent="0.25">
      <c r="A765" t="s">
        <v>1495</v>
      </c>
      <c r="E765" s="42" t="s">
        <v>1496</v>
      </c>
      <c r="F765" s="43" t="s">
        <v>1497</v>
      </c>
      <c r="G765" s="14">
        <v>4524</v>
      </c>
      <c r="H765" s="2"/>
      <c r="I765" s="19"/>
      <c r="J765" s="14">
        <v>0</v>
      </c>
      <c r="K765" s="2"/>
      <c r="L765" s="19"/>
      <c r="M765" s="14">
        <v>0</v>
      </c>
      <c r="N765" s="2"/>
      <c r="O765" s="14">
        <v>4524</v>
      </c>
      <c r="P765" s="55" t="s">
        <v>2863</v>
      </c>
      <c r="Q765" s="14">
        <v>7254</v>
      </c>
      <c r="R765" s="2"/>
      <c r="S765" s="44">
        <f>[1]!DDIFF(7254,4524)</f>
        <v>-2730</v>
      </c>
      <c r="T765" s="2"/>
      <c r="U765" s="1"/>
      <c r="V765" s="62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</row>
    <row r="766" spans="1:67" collapsed="1" x14ac:dyDescent="0.25">
      <c r="A766" t="s">
        <v>1498</v>
      </c>
      <c r="E766" s="42" t="s">
        <v>1499</v>
      </c>
      <c r="F766" s="43" t="s">
        <v>1500</v>
      </c>
      <c r="G766" s="14">
        <v>32634</v>
      </c>
      <c r="H766" s="2"/>
      <c r="I766" s="19"/>
      <c r="J766" s="14">
        <v>-4019</v>
      </c>
      <c r="K766" s="2"/>
      <c r="L766" s="19"/>
      <c r="M766" s="14">
        <v>0</v>
      </c>
      <c r="N766" s="2"/>
      <c r="O766" s="14">
        <v>28615</v>
      </c>
      <c r="P766" s="56" t="s">
        <v>2871</v>
      </c>
      <c r="Q766" s="14">
        <v>36150</v>
      </c>
      <c r="R766" s="2"/>
      <c r="S766" s="44">
        <f>[1]!DDIFF(36150,28615)</f>
        <v>-7535</v>
      </c>
      <c r="T766" s="2"/>
      <c r="U766" s="1"/>
      <c r="V766" s="60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</row>
    <row r="767" spans="1:67" hidden="1" outlineLevel="1" x14ac:dyDescent="0.25">
      <c r="A767" t="s">
        <v>2708</v>
      </c>
      <c r="E767" s="7"/>
      <c r="F767" s="10"/>
      <c r="G767" s="14"/>
      <c r="H767" s="2"/>
      <c r="I767" s="54" t="s">
        <v>2701</v>
      </c>
      <c r="J767" s="14">
        <v>-4019</v>
      </c>
      <c r="K767" s="2"/>
      <c r="L767" s="19"/>
      <c r="M767" s="14"/>
      <c r="N767" s="2"/>
      <c r="O767" s="14"/>
      <c r="P767" s="56"/>
      <c r="Q767" s="14"/>
      <c r="R767" s="2"/>
      <c r="S767" s="14"/>
      <c r="T767" s="2"/>
      <c r="U767" s="1"/>
      <c r="V767" s="60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</row>
    <row r="768" spans="1:67" collapsed="1" x14ac:dyDescent="0.25">
      <c r="A768" t="s">
        <v>1501</v>
      </c>
      <c r="E768" s="42" t="s">
        <v>1502</v>
      </c>
      <c r="F768" s="43" t="s">
        <v>1503</v>
      </c>
      <c r="G768" s="14">
        <v>233717</v>
      </c>
      <c r="H768" s="2"/>
      <c r="I768" s="19"/>
      <c r="J768" s="14">
        <v>-4889</v>
      </c>
      <c r="K768" s="2"/>
      <c r="L768" s="19"/>
      <c r="M768" s="14">
        <v>0</v>
      </c>
      <c r="N768" s="2"/>
      <c r="O768" s="14">
        <v>228828</v>
      </c>
      <c r="P768" s="56" t="s">
        <v>2872</v>
      </c>
      <c r="Q768" s="14">
        <v>132928</v>
      </c>
      <c r="R768" s="2"/>
      <c r="S768" s="44">
        <f>[1]!DDIFF(132928,228828)</f>
        <v>95900</v>
      </c>
      <c r="T768" s="2"/>
      <c r="U768" s="59">
        <v>618</v>
      </c>
      <c r="V768" s="60">
        <v>87918</v>
      </c>
      <c r="W768" s="1" t="s">
        <v>2873</v>
      </c>
      <c r="X768" s="1" t="s">
        <v>2874</v>
      </c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</row>
    <row r="769" spans="1:67" hidden="1" outlineLevel="1" x14ac:dyDescent="0.25">
      <c r="A769" t="s">
        <v>2709</v>
      </c>
      <c r="E769" s="7"/>
      <c r="F769" s="10"/>
      <c r="G769" s="14"/>
      <c r="H769" s="2"/>
      <c r="I769" s="54" t="s">
        <v>2701</v>
      </c>
      <c r="J769" s="14">
        <v>-4889</v>
      </c>
      <c r="K769" s="2"/>
      <c r="L769" s="19"/>
      <c r="M769" s="14"/>
      <c r="N769" s="2"/>
      <c r="O769" s="14"/>
      <c r="P769" s="55" t="s">
        <v>2863</v>
      </c>
      <c r="Q769" s="14"/>
      <c r="R769" s="2"/>
      <c r="S769" s="14"/>
      <c r="T769" s="2"/>
      <c r="U769" s="61"/>
      <c r="V769" s="60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</row>
    <row r="770" spans="1:67" x14ac:dyDescent="0.25">
      <c r="A770" t="s">
        <v>1504</v>
      </c>
      <c r="E770" s="42" t="s">
        <v>1505</v>
      </c>
      <c r="F770" s="43" t="s">
        <v>1506</v>
      </c>
      <c r="G770" s="14">
        <v>377787</v>
      </c>
      <c r="H770" s="2"/>
      <c r="I770" s="19"/>
      <c r="J770" s="14">
        <v>0</v>
      </c>
      <c r="K770" s="2"/>
      <c r="L770" s="19"/>
      <c r="M770" s="14">
        <v>0</v>
      </c>
      <c r="N770" s="2"/>
      <c r="O770" s="14">
        <v>377787</v>
      </c>
      <c r="P770" s="55" t="s">
        <v>2863</v>
      </c>
      <c r="Q770" s="14">
        <v>287513</v>
      </c>
      <c r="R770" s="2"/>
      <c r="S770" s="44">
        <f>[1]!DDIFF(287513,377787)</f>
        <v>90274</v>
      </c>
      <c r="T770" s="2"/>
      <c r="U770" s="61"/>
      <c r="V770" s="60">
        <f>+O768-V768</f>
        <v>140910</v>
      </c>
      <c r="W770" s="1" t="s">
        <v>2875</v>
      </c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</row>
    <row r="771" spans="1:67" collapsed="1" x14ac:dyDescent="0.25">
      <c r="A771" t="s">
        <v>1507</v>
      </c>
      <c r="E771" s="42" t="s">
        <v>1508</v>
      </c>
      <c r="F771" s="43" t="s">
        <v>1509</v>
      </c>
      <c r="G771" s="14">
        <v>1682</v>
      </c>
      <c r="H771" s="2"/>
      <c r="I771" s="19"/>
      <c r="J771" s="14">
        <v>-126</v>
      </c>
      <c r="K771" s="2"/>
      <c r="L771" s="19"/>
      <c r="M771" s="14">
        <v>0</v>
      </c>
      <c r="N771" s="2"/>
      <c r="O771" s="14">
        <v>1556</v>
      </c>
      <c r="P771" s="55" t="s">
        <v>2863</v>
      </c>
      <c r="Q771" s="14">
        <v>1612</v>
      </c>
      <c r="R771" s="2"/>
      <c r="S771" s="44">
        <f>[1]!DDIFF(1612,1556)</f>
        <v>-56</v>
      </c>
      <c r="T771" s="2"/>
      <c r="U771" s="1"/>
      <c r="V771" s="60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</row>
    <row r="772" spans="1:67" hidden="1" outlineLevel="1" x14ac:dyDescent="0.25">
      <c r="A772" t="s">
        <v>2710</v>
      </c>
      <c r="E772" s="7"/>
      <c r="F772" s="10"/>
      <c r="G772" s="14"/>
      <c r="H772" s="2"/>
      <c r="I772" s="54" t="s">
        <v>2701</v>
      </c>
      <c r="J772" s="14">
        <v>-126</v>
      </c>
      <c r="K772" s="2"/>
      <c r="L772" s="19"/>
      <c r="M772" s="14"/>
      <c r="N772" s="2"/>
      <c r="O772" s="14"/>
      <c r="P772" s="2"/>
      <c r="Q772" s="14"/>
      <c r="R772" s="2"/>
      <c r="S772" s="14"/>
      <c r="T772" s="2"/>
      <c r="U772" s="1"/>
      <c r="V772" s="62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</row>
    <row r="773" spans="1:67" hidden="1" x14ac:dyDescent="0.25">
      <c r="A773" t="s">
        <v>1513</v>
      </c>
      <c r="E773" s="42" t="s">
        <v>1514</v>
      </c>
      <c r="F773" s="43" t="s">
        <v>1515</v>
      </c>
      <c r="G773" s="14">
        <v>0</v>
      </c>
      <c r="H773" s="2"/>
      <c r="I773" s="19"/>
      <c r="J773" s="14">
        <v>0</v>
      </c>
      <c r="K773" s="2"/>
      <c r="L773" s="19"/>
      <c r="M773" s="14">
        <v>0</v>
      </c>
      <c r="N773" s="2"/>
      <c r="O773" s="14">
        <v>0</v>
      </c>
      <c r="P773" s="2"/>
      <c r="Q773" s="14">
        <v>0</v>
      </c>
      <c r="R773" s="2"/>
      <c r="S773" s="44">
        <f>[1]!DDIFF(0,0)</f>
        <v>0</v>
      </c>
      <c r="T773" s="2"/>
      <c r="U773" s="1"/>
      <c r="V773" s="62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</row>
    <row r="774" spans="1:67" hidden="1" x14ac:dyDescent="0.25">
      <c r="A774" t="s">
        <v>1516</v>
      </c>
      <c r="E774" s="42" t="s">
        <v>1517</v>
      </c>
      <c r="F774" s="43" t="s">
        <v>1518</v>
      </c>
      <c r="G774" s="14">
        <v>0</v>
      </c>
      <c r="H774" s="2"/>
      <c r="I774" s="19"/>
      <c r="J774" s="14">
        <v>0</v>
      </c>
      <c r="K774" s="2"/>
      <c r="L774" s="19"/>
      <c r="M774" s="14">
        <v>0</v>
      </c>
      <c r="N774" s="2"/>
      <c r="O774" s="14">
        <v>0</v>
      </c>
      <c r="P774" s="2"/>
      <c r="Q774" s="14">
        <v>0</v>
      </c>
      <c r="R774" s="2"/>
      <c r="S774" s="44">
        <f>[1]!DDIFF(0,0)</f>
        <v>0</v>
      </c>
      <c r="T774" s="2"/>
      <c r="U774" s="1"/>
      <c r="V774" s="62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</row>
    <row r="775" spans="1:67" hidden="1" x14ac:dyDescent="0.25">
      <c r="A775" t="s">
        <v>1519</v>
      </c>
      <c r="E775" s="42" t="s">
        <v>1520</v>
      </c>
      <c r="F775" s="43" t="s">
        <v>1521</v>
      </c>
      <c r="G775" s="14">
        <v>0</v>
      </c>
      <c r="H775" s="2"/>
      <c r="I775" s="19"/>
      <c r="J775" s="14">
        <v>0</v>
      </c>
      <c r="K775" s="2"/>
      <c r="L775" s="19"/>
      <c r="M775" s="14">
        <v>0</v>
      </c>
      <c r="N775" s="2"/>
      <c r="O775" s="14">
        <v>0</v>
      </c>
      <c r="P775" s="2"/>
      <c r="Q775" s="14">
        <v>0</v>
      </c>
      <c r="R775" s="2"/>
      <c r="S775" s="44">
        <f>[1]!DDIFF(0,0)</f>
        <v>0</v>
      </c>
      <c r="T775" s="2"/>
      <c r="U775" s="1"/>
      <c r="V775" s="62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</row>
    <row r="776" spans="1:67" hidden="1" x14ac:dyDescent="0.25">
      <c r="A776" t="s">
        <v>1522</v>
      </c>
      <c r="E776" s="42" t="s">
        <v>1523</v>
      </c>
      <c r="F776" s="43" t="s">
        <v>1524</v>
      </c>
      <c r="G776" s="14">
        <v>0</v>
      </c>
      <c r="H776" s="2"/>
      <c r="I776" s="19"/>
      <c r="J776" s="14">
        <v>0</v>
      </c>
      <c r="K776" s="2"/>
      <c r="L776" s="19"/>
      <c r="M776" s="14">
        <v>0</v>
      </c>
      <c r="N776" s="2"/>
      <c r="O776" s="14">
        <v>0</v>
      </c>
      <c r="P776" s="2"/>
      <c r="Q776" s="14">
        <v>0</v>
      </c>
      <c r="R776" s="2"/>
      <c r="S776" s="44">
        <f>[1]!DDIFF(0,0)</f>
        <v>0</v>
      </c>
      <c r="T776" s="2"/>
      <c r="U776" s="1"/>
      <c r="V776" s="62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</row>
    <row r="777" spans="1:67" hidden="1" x14ac:dyDescent="0.25">
      <c r="A777" t="s">
        <v>1525</v>
      </c>
      <c r="E777" s="42" t="s">
        <v>1526</v>
      </c>
      <c r="F777" s="43" t="s">
        <v>1527</v>
      </c>
      <c r="G777" s="14">
        <v>0</v>
      </c>
      <c r="H777" s="2"/>
      <c r="I777" s="19"/>
      <c r="J777" s="14">
        <v>0</v>
      </c>
      <c r="K777" s="2"/>
      <c r="L777" s="19"/>
      <c r="M777" s="14">
        <v>0</v>
      </c>
      <c r="N777" s="2"/>
      <c r="O777" s="14">
        <v>0</v>
      </c>
      <c r="P777" s="2"/>
      <c r="Q777" s="14">
        <v>0</v>
      </c>
      <c r="R777" s="2"/>
      <c r="S777" s="44">
        <f>[1]!DDIFF(0,0)</f>
        <v>0</v>
      </c>
      <c r="T777" s="2"/>
      <c r="U777" s="1"/>
      <c r="V777" s="62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</row>
    <row r="778" spans="1:67" hidden="1" x14ac:dyDescent="0.25">
      <c r="A778" t="s">
        <v>1528</v>
      </c>
      <c r="E778" s="42" t="s">
        <v>1529</v>
      </c>
      <c r="F778" s="43" t="s">
        <v>1530</v>
      </c>
      <c r="G778" s="14">
        <v>0</v>
      </c>
      <c r="H778" s="2"/>
      <c r="I778" s="19"/>
      <c r="J778" s="14">
        <v>0</v>
      </c>
      <c r="K778" s="2"/>
      <c r="L778" s="19"/>
      <c r="M778" s="14">
        <v>0</v>
      </c>
      <c r="N778" s="2"/>
      <c r="O778" s="14">
        <v>0</v>
      </c>
      <c r="P778" s="2"/>
      <c r="Q778" s="14">
        <v>0</v>
      </c>
      <c r="R778" s="2"/>
      <c r="S778" s="44">
        <f>[1]!DDIFF(0,0)</f>
        <v>0</v>
      </c>
      <c r="T778" s="2"/>
      <c r="U778" s="1"/>
      <c r="V778" s="62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</row>
    <row r="779" spans="1:67" hidden="1" x14ac:dyDescent="0.25">
      <c r="A779" t="s">
        <v>1531</v>
      </c>
      <c r="E779" s="42" t="s">
        <v>1532</v>
      </c>
      <c r="F779" s="43" t="s">
        <v>1533</v>
      </c>
      <c r="G779" s="14">
        <v>0</v>
      </c>
      <c r="H779" s="2"/>
      <c r="I779" s="19"/>
      <c r="J779" s="14">
        <v>0</v>
      </c>
      <c r="K779" s="2"/>
      <c r="L779" s="19"/>
      <c r="M779" s="14">
        <v>0</v>
      </c>
      <c r="N779" s="2"/>
      <c r="O779" s="14">
        <v>0</v>
      </c>
      <c r="P779" s="2"/>
      <c r="Q779" s="14">
        <v>0</v>
      </c>
      <c r="R779" s="2"/>
      <c r="S779" s="44">
        <f>[1]!DDIFF(0,0)</f>
        <v>0</v>
      </c>
      <c r="T779" s="2"/>
      <c r="U779" s="1"/>
      <c r="V779" s="62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</row>
    <row r="780" spans="1:67" hidden="1" x14ac:dyDescent="0.25">
      <c r="A780" t="s">
        <v>1534</v>
      </c>
      <c r="E780" s="42" t="s">
        <v>1535</v>
      </c>
      <c r="F780" s="43" t="s">
        <v>1536</v>
      </c>
      <c r="G780" s="14">
        <v>0</v>
      </c>
      <c r="H780" s="2"/>
      <c r="I780" s="19"/>
      <c r="J780" s="14">
        <v>0</v>
      </c>
      <c r="K780" s="2"/>
      <c r="L780" s="19"/>
      <c r="M780" s="14">
        <v>0</v>
      </c>
      <c r="N780" s="2"/>
      <c r="O780" s="14">
        <v>0</v>
      </c>
      <c r="P780" s="2"/>
      <c r="Q780" s="14">
        <v>0</v>
      </c>
      <c r="R780" s="2"/>
      <c r="S780" s="44">
        <f>[1]!DDIFF(0,0)</f>
        <v>0</v>
      </c>
      <c r="T780" s="2"/>
      <c r="U780" s="1"/>
      <c r="V780" s="62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</row>
    <row r="781" spans="1:67" hidden="1" x14ac:dyDescent="0.25">
      <c r="A781" t="s">
        <v>1537</v>
      </c>
      <c r="E781" s="42" t="s">
        <v>1538</v>
      </c>
      <c r="F781" s="43" t="s">
        <v>1539</v>
      </c>
      <c r="G781" s="14">
        <v>0</v>
      </c>
      <c r="H781" s="2"/>
      <c r="I781" s="19"/>
      <c r="J781" s="14">
        <v>0</v>
      </c>
      <c r="K781" s="2"/>
      <c r="L781" s="19"/>
      <c r="M781" s="14">
        <v>0</v>
      </c>
      <c r="N781" s="2"/>
      <c r="O781" s="14">
        <v>0</v>
      </c>
      <c r="P781" s="2"/>
      <c r="Q781" s="14">
        <v>0</v>
      </c>
      <c r="R781" s="2"/>
      <c r="S781" s="44">
        <f>[1]!DDIFF(0,0)</f>
        <v>0</v>
      </c>
      <c r="T781" s="2"/>
      <c r="U781" s="1"/>
      <c r="V781" s="62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</row>
    <row r="782" spans="1:67" hidden="1" x14ac:dyDescent="0.25">
      <c r="A782" t="s">
        <v>1540</v>
      </c>
      <c r="E782" s="42" t="s">
        <v>1541</v>
      </c>
      <c r="F782" s="43" t="s">
        <v>1542</v>
      </c>
      <c r="G782" s="14">
        <v>0</v>
      </c>
      <c r="H782" s="2"/>
      <c r="I782" s="19"/>
      <c r="J782" s="14">
        <v>0</v>
      </c>
      <c r="K782" s="2"/>
      <c r="L782" s="19"/>
      <c r="M782" s="14">
        <v>0</v>
      </c>
      <c r="N782" s="2"/>
      <c r="O782" s="14">
        <v>0</v>
      </c>
      <c r="P782" s="2"/>
      <c r="Q782" s="14">
        <v>0</v>
      </c>
      <c r="R782" s="2"/>
      <c r="S782" s="44">
        <f>[1]!DDIFF(0,0)</f>
        <v>0</v>
      </c>
      <c r="T782" s="2"/>
      <c r="U782" s="1"/>
      <c r="V782" s="62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</row>
    <row r="783" spans="1:67" hidden="1" x14ac:dyDescent="0.25">
      <c r="A783" t="s">
        <v>1543</v>
      </c>
      <c r="E783" s="42" t="s">
        <v>1544</v>
      </c>
      <c r="F783" s="43" t="s">
        <v>1545</v>
      </c>
      <c r="G783" s="14">
        <v>0</v>
      </c>
      <c r="H783" s="2"/>
      <c r="I783" s="19"/>
      <c r="J783" s="14">
        <v>0</v>
      </c>
      <c r="K783" s="2"/>
      <c r="L783" s="19"/>
      <c r="M783" s="14">
        <v>0</v>
      </c>
      <c r="N783" s="2"/>
      <c r="O783" s="14">
        <v>0</v>
      </c>
      <c r="P783" s="2"/>
      <c r="Q783" s="14">
        <v>0</v>
      </c>
      <c r="R783" s="2"/>
      <c r="S783" s="44">
        <f>[1]!DDIFF(0,0)</f>
        <v>0</v>
      </c>
      <c r="T783" s="2"/>
      <c r="U783" s="1"/>
      <c r="V783" s="62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</row>
    <row r="784" spans="1:67" hidden="1" x14ac:dyDescent="0.25">
      <c r="A784" t="s">
        <v>1546</v>
      </c>
      <c r="E784" s="42" t="s">
        <v>1547</v>
      </c>
      <c r="F784" s="43" t="s">
        <v>1548</v>
      </c>
      <c r="G784" s="14">
        <v>0</v>
      </c>
      <c r="H784" s="2"/>
      <c r="I784" s="19"/>
      <c r="J784" s="14">
        <v>0</v>
      </c>
      <c r="K784" s="2"/>
      <c r="L784" s="19"/>
      <c r="M784" s="14">
        <v>0</v>
      </c>
      <c r="N784" s="2"/>
      <c r="O784" s="14">
        <v>0</v>
      </c>
      <c r="P784" s="2"/>
      <c r="Q784" s="14">
        <v>0</v>
      </c>
      <c r="R784" s="2"/>
      <c r="S784" s="44">
        <f>[1]!DDIFF(0,0)</f>
        <v>0</v>
      </c>
      <c r="T784" s="2"/>
      <c r="U784" s="1"/>
      <c r="V784" s="62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</row>
    <row r="785" spans="1:67" hidden="1" x14ac:dyDescent="0.25">
      <c r="A785" t="s">
        <v>1549</v>
      </c>
      <c r="E785" s="42" t="s">
        <v>1550</v>
      </c>
      <c r="F785" s="43" t="s">
        <v>1551</v>
      </c>
      <c r="G785" s="14">
        <v>0</v>
      </c>
      <c r="H785" s="2"/>
      <c r="I785" s="19"/>
      <c r="J785" s="14">
        <v>0</v>
      </c>
      <c r="K785" s="2"/>
      <c r="L785" s="19"/>
      <c r="M785" s="14">
        <v>0</v>
      </c>
      <c r="N785" s="2"/>
      <c r="O785" s="14">
        <v>0</v>
      </c>
      <c r="P785" s="2"/>
      <c r="Q785" s="14">
        <v>0</v>
      </c>
      <c r="R785" s="2"/>
      <c r="S785" s="44">
        <f>[1]!DDIFF(0,0)</f>
        <v>0</v>
      </c>
      <c r="T785" s="2"/>
      <c r="U785" s="1"/>
      <c r="V785" s="62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</row>
    <row r="786" spans="1:67" hidden="1" x14ac:dyDescent="0.25">
      <c r="A786" t="s">
        <v>1552</v>
      </c>
      <c r="E786" s="42" t="s">
        <v>1553</v>
      </c>
      <c r="F786" s="43" t="s">
        <v>1554</v>
      </c>
      <c r="G786" s="14">
        <v>0</v>
      </c>
      <c r="H786" s="2"/>
      <c r="I786" s="19"/>
      <c r="J786" s="14">
        <v>0</v>
      </c>
      <c r="K786" s="2"/>
      <c r="L786" s="19"/>
      <c r="M786" s="14">
        <v>0</v>
      </c>
      <c r="N786" s="2"/>
      <c r="O786" s="14">
        <v>0</v>
      </c>
      <c r="P786" s="2"/>
      <c r="Q786" s="14">
        <v>0</v>
      </c>
      <c r="R786" s="2"/>
      <c r="S786" s="44">
        <f>[1]!DDIFF(0,0)</f>
        <v>0</v>
      </c>
      <c r="T786" s="2"/>
      <c r="U786" s="1"/>
      <c r="V786" s="62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</row>
    <row r="787" spans="1:67" hidden="1" x14ac:dyDescent="0.25">
      <c r="A787" t="s">
        <v>1555</v>
      </c>
      <c r="E787" s="42" t="s">
        <v>1556</v>
      </c>
      <c r="F787" s="43" t="s">
        <v>1557</v>
      </c>
      <c r="G787" s="14">
        <v>0</v>
      </c>
      <c r="H787" s="2"/>
      <c r="I787" s="19"/>
      <c r="J787" s="14">
        <v>0</v>
      </c>
      <c r="K787" s="2"/>
      <c r="L787" s="19"/>
      <c r="M787" s="14">
        <v>0</v>
      </c>
      <c r="N787" s="2"/>
      <c r="O787" s="14">
        <v>0</v>
      </c>
      <c r="P787" s="2"/>
      <c r="Q787" s="14">
        <v>0</v>
      </c>
      <c r="R787" s="2"/>
      <c r="S787" s="44">
        <f>[1]!DDIFF(0,0)</f>
        <v>0</v>
      </c>
      <c r="T787" s="2"/>
      <c r="U787" s="1"/>
      <c r="V787" s="62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</row>
    <row r="788" spans="1:67" hidden="1" x14ac:dyDescent="0.25">
      <c r="A788" t="s">
        <v>1558</v>
      </c>
      <c r="E788" s="42" t="s">
        <v>1559</v>
      </c>
      <c r="F788" s="43" t="s">
        <v>1560</v>
      </c>
      <c r="G788" s="14">
        <v>0</v>
      </c>
      <c r="H788" s="2"/>
      <c r="I788" s="19"/>
      <c r="J788" s="14">
        <v>0</v>
      </c>
      <c r="K788" s="2"/>
      <c r="L788" s="19"/>
      <c r="M788" s="14">
        <v>0</v>
      </c>
      <c r="N788" s="2"/>
      <c r="O788" s="14">
        <v>0</v>
      </c>
      <c r="P788" s="2"/>
      <c r="Q788" s="14">
        <v>0</v>
      </c>
      <c r="R788" s="2"/>
      <c r="S788" s="44">
        <f>[1]!DDIFF(0,0)</f>
        <v>0</v>
      </c>
      <c r="T788" s="2"/>
      <c r="U788" s="1"/>
      <c r="V788" s="62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</row>
    <row r="789" spans="1:67" hidden="1" x14ac:dyDescent="0.25">
      <c r="A789" t="s">
        <v>1561</v>
      </c>
      <c r="E789" s="42" t="s">
        <v>1562</v>
      </c>
      <c r="F789" s="43" t="s">
        <v>1563</v>
      </c>
      <c r="G789" s="14">
        <v>0</v>
      </c>
      <c r="H789" s="2"/>
      <c r="I789" s="19"/>
      <c r="J789" s="14">
        <v>0</v>
      </c>
      <c r="K789" s="2"/>
      <c r="L789" s="19"/>
      <c r="M789" s="14">
        <v>0</v>
      </c>
      <c r="N789" s="2"/>
      <c r="O789" s="14">
        <v>0</v>
      </c>
      <c r="P789" s="2"/>
      <c r="Q789" s="14">
        <v>0</v>
      </c>
      <c r="R789" s="2"/>
      <c r="S789" s="44">
        <f>[1]!DDIFF(0,0)</f>
        <v>0</v>
      </c>
      <c r="T789" s="2"/>
      <c r="U789" s="1"/>
      <c r="V789" s="62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</row>
    <row r="790" spans="1:67" hidden="1" x14ac:dyDescent="0.25">
      <c r="A790" t="s">
        <v>1564</v>
      </c>
      <c r="E790" s="42" t="s">
        <v>1565</v>
      </c>
      <c r="F790" s="43" t="s">
        <v>1566</v>
      </c>
      <c r="G790" s="14">
        <v>0</v>
      </c>
      <c r="H790" s="2"/>
      <c r="I790" s="19"/>
      <c r="J790" s="14">
        <v>0</v>
      </c>
      <c r="K790" s="2"/>
      <c r="L790" s="19"/>
      <c r="M790" s="14">
        <v>0</v>
      </c>
      <c r="N790" s="2"/>
      <c r="O790" s="14">
        <v>0</v>
      </c>
      <c r="P790" s="2"/>
      <c r="Q790" s="14">
        <v>0</v>
      </c>
      <c r="R790" s="2"/>
      <c r="S790" s="44">
        <f>[1]!DDIFF(0,0)</f>
        <v>0</v>
      </c>
      <c r="T790" s="2"/>
      <c r="U790" s="1"/>
      <c r="V790" s="62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</row>
    <row r="791" spans="1:67" hidden="1" x14ac:dyDescent="0.25">
      <c r="A791" t="s">
        <v>1567</v>
      </c>
      <c r="E791" s="42" t="s">
        <v>1568</v>
      </c>
      <c r="F791" s="43" t="s">
        <v>1569</v>
      </c>
      <c r="G791" s="14">
        <v>0</v>
      </c>
      <c r="H791" s="2"/>
      <c r="I791" s="19"/>
      <c r="J791" s="14">
        <v>0</v>
      </c>
      <c r="K791" s="2"/>
      <c r="L791" s="19"/>
      <c r="M791" s="14">
        <v>0</v>
      </c>
      <c r="N791" s="2"/>
      <c r="O791" s="14">
        <v>0</v>
      </c>
      <c r="P791" s="2"/>
      <c r="Q791" s="14">
        <v>0</v>
      </c>
      <c r="R791" s="2"/>
      <c r="S791" s="44">
        <f>[1]!DDIFF(0,0)</f>
        <v>0</v>
      </c>
      <c r="T791" s="2"/>
      <c r="U791" s="1"/>
      <c r="V791" s="62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</row>
    <row r="792" spans="1:67" hidden="1" x14ac:dyDescent="0.25">
      <c r="A792" t="s">
        <v>1570</v>
      </c>
      <c r="E792" s="42" t="s">
        <v>1571</v>
      </c>
      <c r="F792" s="43" t="s">
        <v>1572</v>
      </c>
      <c r="G792" s="14">
        <v>0</v>
      </c>
      <c r="H792" s="2"/>
      <c r="I792" s="19"/>
      <c r="J792" s="14">
        <v>0</v>
      </c>
      <c r="K792" s="2"/>
      <c r="L792" s="19"/>
      <c r="M792" s="14">
        <v>0</v>
      </c>
      <c r="N792" s="2"/>
      <c r="O792" s="14">
        <v>0</v>
      </c>
      <c r="P792" s="2"/>
      <c r="Q792" s="14">
        <v>0</v>
      </c>
      <c r="R792" s="2"/>
      <c r="S792" s="44">
        <f>[1]!DDIFF(0,0)</f>
        <v>0</v>
      </c>
      <c r="T792" s="2"/>
      <c r="U792" s="1"/>
      <c r="V792" s="62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</row>
    <row r="793" spans="1:67" hidden="1" x14ac:dyDescent="0.25">
      <c r="A793" t="s">
        <v>1573</v>
      </c>
      <c r="E793" s="42" t="s">
        <v>1574</v>
      </c>
      <c r="F793" s="43" t="s">
        <v>1575</v>
      </c>
      <c r="G793" s="14">
        <v>0</v>
      </c>
      <c r="H793" s="2"/>
      <c r="I793" s="19"/>
      <c r="J793" s="14">
        <v>0</v>
      </c>
      <c r="K793" s="2"/>
      <c r="L793" s="19"/>
      <c r="M793" s="14">
        <v>0</v>
      </c>
      <c r="N793" s="2"/>
      <c r="O793" s="14">
        <v>0</v>
      </c>
      <c r="P793" s="2"/>
      <c r="Q793" s="14">
        <v>0</v>
      </c>
      <c r="R793" s="2"/>
      <c r="S793" s="44">
        <f>[1]!DDIFF(0,0)</f>
        <v>0</v>
      </c>
      <c r="T793" s="2"/>
      <c r="U793" s="1"/>
      <c r="V793" s="62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</row>
    <row r="794" spans="1:67" hidden="1" x14ac:dyDescent="0.25">
      <c r="A794" t="s">
        <v>1576</v>
      </c>
      <c r="E794" s="42" t="s">
        <v>1577</v>
      </c>
      <c r="F794" s="43" t="s">
        <v>1578</v>
      </c>
      <c r="G794" s="14">
        <v>0</v>
      </c>
      <c r="H794" s="2"/>
      <c r="I794" s="19"/>
      <c r="J794" s="14">
        <v>0</v>
      </c>
      <c r="K794" s="2"/>
      <c r="L794" s="19"/>
      <c r="M794" s="14">
        <v>0</v>
      </c>
      <c r="N794" s="2"/>
      <c r="O794" s="14">
        <v>0</v>
      </c>
      <c r="P794" s="2"/>
      <c r="Q794" s="14">
        <v>0</v>
      </c>
      <c r="R794" s="2"/>
      <c r="S794" s="44">
        <f>[1]!DDIFF(0,0)</f>
        <v>0</v>
      </c>
      <c r="T794" s="2"/>
      <c r="U794" s="1"/>
      <c r="V794" s="62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</row>
    <row r="795" spans="1:67" hidden="1" x14ac:dyDescent="0.25">
      <c r="A795" t="s">
        <v>1579</v>
      </c>
      <c r="E795" s="42" t="s">
        <v>1580</v>
      </c>
      <c r="F795" s="43" t="s">
        <v>1581</v>
      </c>
      <c r="G795" s="14">
        <v>0</v>
      </c>
      <c r="H795" s="2"/>
      <c r="I795" s="19"/>
      <c r="J795" s="14">
        <v>0</v>
      </c>
      <c r="K795" s="2"/>
      <c r="L795" s="19"/>
      <c r="M795" s="14">
        <v>0</v>
      </c>
      <c r="N795" s="2"/>
      <c r="O795" s="14">
        <v>0</v>
      </c>
      <c r="P795" s="2"/>
      <c r="Q795" s="14">
        <v>0</v>
      </c>
      <c r="R795" s="2"/>
      <c r="S795" s="44">
        <f>[1]!DDIFF(0,0)</f>
        <v>0</v>
      </c>
      <c r="T795" s="2"/>
      <c r="U795" s="1"/>
      <c r="V795" s="62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</row>
    <row r="796" spans="1:67" hidden="1" x14ac:dyDescent="0.25">
      <c r="A796" t="s">
        <v>1582</v>
      </c>
      <c r="E796" s="42" t="s">
        <v>1583</v>
      </c>
      <c r="F796" s="43" t="s">
        <v>1584</v>
      </c>
      <c r="G796" s="14">
        <v>0</v>
      </c>
      <c r="H796" s="2"/>
      <c r="I796" s="19"/>
      <c r="J796" s="14">
        <v>0</v>
      </c>
      <c r="K796" s="2"/>
      <c r="L796" s="19"/>
      <c r="M796" s="14">
        <v>0</v>
      </c>
      <c r="N796" s="2"/>
      <c r="O796" s="14">
        <v>0</v>
      </c>
      <c r="P796" s="2"/>
      <c r="Q796" s="14">
        <v>0</v>
      </c>
      <c r="R796" s="2"/>
      <c r="S796" s="44">
        <f>[1]!DDIFF(0,0)</f>
        <v>0</v>
      </c>
      <c r="T796" s="2"/>
      <c r="U796" s="1"/>
      <c r="V796" s="62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</row>
    <row r="797" spans="1:67" hidden="1" x14ac:dyDescent="0.25">
      <c r="A797" t="s">
        <v>1585</v>
      </c>
      <c r="E797" s="42" t="s">
        <v>1586</v>
      </c>
      <c r="F797" s="43" t="s">
        <v>1587</v>
      </c>
      <c r="G797" s="14">
        <v>0</v>
      </c>
      <c r="H797" s="2"/>
      <c r="I797" s="19"/>
      <c r="J797" s="14">
        <v>0</v>
      </c>
      <c r="K797" s="2"/>
      <c r="L797" s="19"/>
      <c r="M797" s="14">
        <v>0</v>
      </c>
      <c r="N797" s="2"/>
      <c r="O797" s="14">
        <v>0</v>
      </c>
      <c r="P797" s="2"/>
      <c r="Q797" s="14">
        <v>0</v>
      </c>
      <c r="R797" s="2"/>
      <c r="S797" s="44">
        <f>[1]!DDIFF(0,0)</f>
        <v>0</v>
      </c>
      <c r="T797" s="2"/>
      <c r="U797" s="1"/>
      <c r="V797" s="62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</row>
    <row r="798" spans="1:67" hidden="1" x14ac:dyDescent="0.25">
      <c r="A798" t="s">
        <v>1588</v>
      </c>
      <c r="E798" s="42" t="s">
        <v>1589</v>
      </c>
      <c r="F798" s="43" t="s">
        <v>1590</v>
      </c>
      <c r="G798" s="14">
        <v>0</v>
      </c>
      <c r="H798" s="2"/>
      <c r="I798" s="19"/>
      <c r="J798" s="14">
        <v>0</v>
      </c>
      <c r="K798" s="2"/>
      <c r="L798" s="19"/>
      <c r="M798" s="14">
        <v>0</v>
      </c>
      <c r="N798" s="2"/>
      <c r="O798" s="14">
        <v>0</v>
      </c>
      <c r="P798" s="2"/>
      <c r="Q798" s="14">
        <v>0</v>
      </c>
      <c r="R798" s="2"/>
      <c r="S798" s="44">
        <f>[1]!DDIFF(0,0)</f>
        <v>0</v>
      </c>
      <c r="T798" s="2"/>
      <c r="U798" s="1"/>
      <c r="V798" s="62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</row>
    <row r="799" spans="1:67" hidden="1" x14ac:dyDescent="0.25">
      <c r="A799" t="s">
        <v>1591</v>
      </c>
      <c r="E799" s="42" t="s">
        <v>1592</v>
      </c>
      <c r="F799" s="43" t="s">
        <v>1593</v>
      </c>
      <c r="G799" s="14">
        <v>0</v>
      </c>
      <c r="H799" s="2"/>
      <c r="I799" s="19"/>
      <c r="J799" s="14">
        <v>0</v>
      </c>
      <c r="K799" s="2"/>
      <c r="L799" s="19"/>
      <c r="M799" s="14">
        <v>0</v>
      </c>
      <c r="N799" s="2"/>
      <c r="O799" s="14">
        <v>0</v>
      </c>
      <c r="P799" s="2"/>
      <c r="Q799" s="14">
        <v>0</v>
      </c>
      <c r="R799" s="2"/>
      <c r="S799" s="44">
        <f>[1]!DDIFF(0,0)</f>
        <v>0</v>
      </c>
      <c r="T799" s="2"/>
      <c r="U799" s="1"/>
      <c r="V799" s="62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</row>
    <row r="800" spans="1:67" hidden="1" x14ac:dyDescent="0.25">
      <c r="A800" t="s">
        <v>1594</v>
      </c>
      <c r="E800" s="42" t="s">
        <v>1595</v>
      </c>
      <c r="F800" s="43" t="s">
        <v>1596</v>
      </c>
      <c r="G800" s="14">
        <v>0</v>
      </c>
      <c r="H800" s="2"/>
      <c r="I800" s="19"/>
      <c r="J800" s="14">
        <v>0</v>
      </c>
      <c r="K800" s="2"/>
      <c r="L800" s="19"/>
      <c r="M800" s="14">
        <v>0</v>
      </c>
      <c r="N800" s="2"/>
      <c r="O800" s="14">
        <v>0</v>
      </c>
      <c r="P800" s="2"/>
      <c r="Q800" s="14">
        <v>0</v>
      </c>
      <c r="R800" s="2"/>
      <c r="S800" s="44">
        <f>[1]!DDIFF(0,0)</f>
        <v>0</v>
      </c>
      <c r="T800" s="2"/>
      <c r="U800" s="1"/>
      <c r="V800" s="62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</row>
    <row r="801" spans="1:67" hidden="1" x14ac:dyDescent="0.25">
      <c r="A801" t="s">
        <v>1597</v>
      </c>
      <c r="E801" s="42" t="s">
        <v>1598</v>
      </c>
      <c r="F801" s="43" t="s">
        <v>1599</v>
      </c>
      <c r="G801" s="14">
        <v>0</v>
      </c>
      <c r="H801" s="2"/>
      <c r="I801" s="19"/>
      <c r="J801" s="14">
        <v>0</v>
      </c>
      <c r="K801" s="2"/>
      <c r="L801" s="19"/>
      <c r="M801" s="14">
        <v>0</v>
      </c>
      <c r="N801" s="2"/>
      <c r="O801" s="14">
        <v>0</v>
      </c>
      <c r="P801" s="2"/>
      <c r="Q801" s="14">
        <v>0</v>
      </c>
      <c r="R801" s="2"/>
      <c r="S801" s="44">
        <f>[1]!DDIFF(0,0)</f>
        <v>0</v>
      </c>
      <c r="T801" s="2"/>
      <c r="U801" s="1"/>
      <c r="V801" s="62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</row>
    <row r="802" spans="1:67" hidden="1" x14ac:dyDescent="0.25">
      <c r="A802" t="s">
        <v>1600</v>
      </c>
      <c r="E802" s="42" t="s">
        <v>1601</v>
      </c>
      <c r="F802" s="43" t="s">
        <v>1602</v>
      </c>
      <c r="G802" s="14">
        <v>0</v>
      </c>
      <c r="H802" s="2"/>
      <c r="I802" s="19"/>
      <c r="J802" s="14">
        <v>0</v>
      </c>
      <c r="K802" s="2"/>
      <c r="L802" s="19"/>
      <c r="M802" s="14">
        <v>0</v>
      </c>
      <c r="N802" s="2"/>
      <c r="O802" s="14">
        <v>0</v>
      </c>
      <c r="P802" s="2"/>
      <c r="Q802" s="14">
        <v>0</v>
      </c>
      <c r="R802" s="2"/>
      <c r="S802" s="44">
        <f>[1]!DDIFF(0,0)</f>
        <v>0</v>
      </c>
      <c r="T802" s="2"/>
      <c r="U802" s="1"/>
      <c r="V802" s="62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</row>
    <row r="803" spans="1:67" hidden="1" x14ac:dyDescent="0.25">
      <c r="A803" t="s">
        <v>1603</v>
      </c>
      <c r="E803" s="42" t="s">
        <v>1604</v>
      </c>
      <c r="F803" s="43" t="s">
        <v>1605</v>
      </c>
      <c r="G803" s="14">
        <v>0</v>
      </c>
      <c r="H803" s="2"/>
      <c r="I803" s="19"/>
      <c r="J803" s="14">
        <v>0</v>
      </c>
      <c r="K803" s="2"/>
      <c r="L803" s="19"/>
      <c r="M803" s="14">
        <v>0</v>
      </c>
      <c r="N803" s="2"/>
      <c r="O803" s="14">
        <v>0</v>
      </c>
      <c r="P803" s="2"/>
      <c r="Q803" s="14">
        <v>0</v>
      </c>
      <c r="R803" s="2"/>
      <c r="S803" s="44">
        <f>[1]!DDIFF(0,0)</f>
        <v>0</v>
      </c>
      <c r="T803" s="2"/>
      <c r="U803" s="1"/>
      <c r="V803" s="62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</row>
    <row r="804" spans="1:67" hidden="1" x14ac:dyDescent="0.25">
      <c r="A804" t="s">
        <v>1606</v>
      </c>
      <c r="E804" s="42" t="s">
        <v>1607</v>
      </c>
      <c r="F804" s="43" t="s">
        <v>1608</v>
      </c>
      <c r="G804" s="14">
        <v>0</v>
      </c>
      <c r="H804" s="2"/>
      <c r="I804" s="19"/>
      <c r="J804" s="14">
        <v>0</v>
      </c>
      <c r="K804" s="2"/>
      <c r="L804" s="19"/>
      <c r="M804" s="14">
        <v>0</v>
      </c>
      <c r="N804" s="2"/>
      <c r="O804" s="14">
        <v>0</v>
      </c>
      <c r="P804" s="2"/>
      <c r="Q804" s="14">
        <v>0</v>
      </c>
      <c r="R804" s="2"/>
      <c r="S804" s="44">
        <f>[1]!DDIFF(0,0)</f>
        <v>0</v>
      </c>
      <c r="T804" s="2"/>
      <c r="U804" s="1"/>
      <c r="V804" s="62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</row>
    <row r="805" spans="1:67" hidden="1" x14ac:dyDescent="0.25">
      <c r="A805" t="s">
        <v>1609</v>
      </c>
      <c r="E805" s="42" t="s">
        <v>1610</v>
      </c>
      <c r="F805" s="43" t="s">
        <v>1611</v>
      </c>
      <c r="G805" s="14">
        <v>0</v>
      </c>
      <c r="H805" s="2"/>
      <c r="I805" s="19"/>
      <c r="J805" s="14">
        <v>0</v>
      </c>
      <c r="K805" s="2"/>
      <c r="L805" s="19"/>
      <c r="M805" s="14">
        <v>0</v>
      </c>
      <c r="N805" s="2"/>
      <c r="O805" s="14">
        <v>0</v>
      </c>
      <c r="P805" s="2"/>
      <c r="Q805" s="14">
        <v>0</v>
      </c>
      <c r="R805" s="2"/>
      <c r="S805" s="44">
        <f>[1]!DDIFF(0,0)</f>
        <v>0</v>
      </c>
      <c r="T805" s="2"/>
      <c r="U805" s="1"/>
      <c r="V805" s="62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</row>
    <row r="806" spans="1:67" hidden="1" x14ac:dyDescent="0.25">
      <c r="A806" t="s">
        <v>1612</v>
      </c>
      <c r="E806" s="42" t="s">
        <v>1613</v>
      </c>
      <c r="F806" s="43" t="s">
        <v>1614</v>
      </c>
      <c r="G806" s="14">
        <v>0</v>
      </c>
      <c r="H806" s="2"/>
      <c r="I806" s="19"/>
      <c r="J806" s="14">
        <v>0</v>
      </c>
      <c r="K806" s="2"/>
      <c r="L806" s="19"/>
      <c r="M806" s="14">
        <v>0</v>
      </c>
      <c r="N806" s="2"/>
      <c r="O806" s="14">
        <v>0</v>
      </c>
      <c r="P806" s="2"/>
      <c r="Q806" s="14">
        <v>0</v>
      </c>
      <c r="R806" s="2"/>
      <c r="S806" s="44">
        <f>[1]!DDIFF(0,0)</f>
        <v>0</v>
      </c>
      <c r="T806" s="2"/>
      <c r="U806" s="1"/>
      <c r="V806" s="62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</row>
    <row r="807" spans="1:67" hidden="1" x14ac:dyDescent="0.25">
      <c r="A807" t="s">
        <v>1615</v>
      </c>
      <c r="E807" s="42" t="s">
        <v>1616</v>
      </c>
      <c r="F807" s="43" t="s">
        <v>1617</v>
      </c>
      <c r="G807" s="14">
        <v>0</v>
      </c>
      <c r="H807" s="2"/>
      <c r="I807" s="19"/>
      <c r="J807" s="14">
        <v>0</v>
      </c>
      <c r="K807" s="2"/>
      <c r="L807" s="19"/>
      <c r="M807" s="14">
        <v>0</v>
      </c>
      <c r="N807" s="2"/>
      <c r="O807" s="14">
        <v>0</v>
      </c>
      <c r="P807" s="2"/>
      <c r="Q807" s="14">
        <v>0</v>
      </c>
      <c r="R807" s="2"/>
      <c r="S807" s="44">
        <f>[1]!DDIFF(0,0)</f>
        <v>0</v>
      </c>
      <c r="T807" s="2"/>
      <c r="U807" s="1"/>
      <c r="V807" s="62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</row>
    <row r="808" spans="1:67" hidden="1" x14ac:dyDescent="0.25">
      <c r="A808" t="s">
        <v>1618</v>
      </c>
      <c r="E808" s="42" t="s">
        <v>1619</v>
      </c>
      <c r="F808" s="43" t="s">
        <v>1620</v>
      </c>
      <c r="G808" s="14">
        <v>0</v>
      </c>
      <c r="H808" s="2"/>
      <c r="I808" s="19"/>
      <c r="J808" s="14">
        <v>0</v>
      </c>
      <c r="K808" s="2"/>
      <c r="L808" s="19"/>
      <c r="M808" s="14">
        <v>0</v>
      </c>
      <c r="N808" s="2"/>
      <c r="O808" s="14">
        <v>0</v>
      </c>
      <c r="P808" s="2"/>
      <c r="Q808" s="14">
        <v>0</v>
      </c>
      <c r="R808" s="2"/>
      <c r="S808" s="44">
        <f>[1]!DDIFF(0,0)</f>
        <v>0</v>
      </c>
      <c r="T808" s="2"/>
      <c r="U808" s="1"/>
      <c r="V808" s="62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</row>
    <row r="809" spans="1:67" hidden="1" x14ac:dyDescent="0.25">
      <c r="A809" t="s">
        <v>1621</v>
      </c>
      <c r="E809" s="42" t="s">
        <v>1622</v>
      </c>
      <c r="F809" s="43" t="s">
        <v>1623</v>
      </c>
      <c r="G809" s="14">
        <v>0</v>
      </c>
      <c r="H809" s="2"/>
      <c r="I809" s="19"/>
      <c r="J809" s="14">
        <v>0</v>
      </c>
      <c r="K809" s="2"/>
      <c r="L809" s="19"/>
      <c r="M809" s="14">
        <v>0</v>
      </c>
      <c r="N809" s="2"/>
      <c r="O809" s="14">
        <v>0</v>
      </c>
      <c r="P809" s="2"/>
      <c r="Q809" s="14">
        <v>0</v>
      </c>
      <c r="R809" s="2"/>
      <c r="S809" s="44">
        <f>[1]!DDIFF(0,0)</f>
        <v>0</v>
      </c>
      <c r="T809" s="2"/>
      <c r="U809" s="1"/>
      <c r="V809" s="62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</row>
    <row r="810" spans="1:67" hidden="1" x14ac:dyDescent="0.25">
      <c r="A810" t="s">
        <v>1624</v>
      </c>
      <c r="E810" s="42" t="s">
        <v>1625</v>
      </c>
      <c r="F810" s="43" t="s">
        <v>1626</v>
      </c>
      <c r="G810" s="14">
        <v>0</v>
      </c>
      <c r="H810" s="2"/>
      <c r="I810" s="19"/>
      <c r="J810" s="14">
        <v>0</v>
      </c>
      <c r="K810" s="2"/>
      <c r="L810" s="19"/>
      <c r="M810" s="14">
        <v>0</v>
      </c>
      <c r="N810" s="2"/>
      <c r="O810" s="14">
        <v>0</v>
      </c>
      <c r="P810" s="2"/>
      <c r="Q810" s="14">
        <v>0</v>
      </c>
      <c r="R810" s="2"/>
      <c r="S810" s="44">
        <f>[1]!DDIFF(0,0)</f>
        <v>0</v>
      </c>
      <c r="T810" s="2"/>
      <c r="U810" s="1"/>
      <c r="V810" s="62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</row>
    <row r="811" spans="1:67" hidden="1" x14ac:dyDescent="0.25">
      <c r="A811" t="s">
        <v>1627</v>
      </c>
      <c r="E811" s="42" t="s">
        <v>1628</v>
      </c>
      <c r="F811" s="43" t="s">
        <v>1629</v>
      </c>
      <c r="G811" s="14">
        <v>0</v>
      </c>
      <c r="H811" s="2"/>
      <c r="I811" s="19"/>
      <c r="J811" s="14">
        <v>0</v>
      </c>
      <c r="K811" s="2"/>
      <c r="L811" s="19"/>
      <c r="M811" s="14">
        <v>0</v>
      </c>
      <c r="N811" s="2"/>
      <c r="O811" s="14">
        <v>0</v>
      </c>
      <c r="P811" s="2"/>
      <c r="Q811" s="14">
        <v>0</v>
      </c>
      <c r="R811" s="2"/>
      <c r="S811" s="44">
        <f>[1]!DDIFF(0,0)</f>
        <v>0</v>
      </c>
      <c r="T811" s="2"/>
      <c r="U811" s="1"/>
      <c r="V811" s="62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</row>
    <row r="812" spans="1:67" hidden="1" x14ac:dyDescent="0.25">
      <c r="A812" t="s">
        <v>1630</v>
      </c>
      <c r="E812" s="42" t="s">
        <v>1631</v>
      </c>
      <c r="F812" s="43" t="s">
        <v>1632</v>
      </c>
      <c r="G812" s="14">
        <v>0</v>
      </c>
      <c r="H812" s="2"/>
      <c r="I812" s="19"/>
      <c r="J812" s="14">
        <v>0</v>
      </c>
      <c r="K812" s="2"/>
      <c r="L812" s="19"/>
      <c r="M812" s="14">
        <v>0</v>
      </c>
      <c r="N812" s="2"/>
      <c r="O812" s="14">
        <v>0</v>
      </c>
      <c r="P812" s="2"/>
      <c r="Q812" s="14">
        <v>0</v>
      </c>
      <c r="R812" s="2"/>
      <c r="S812" s="44">
        <f>[1]!DDIFF(0,0)</f>
        <v>0</v>
      </c>
      <c r="T812" s="2"/>
      <c r="U812" s="1"/>
      <c r="V812" s="62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</row>
    <row r="813" spans="1:67" hidden="1" x14ac:dyDescent="0.25">
      <c r="A813" t="s">
        <v>1633</v>
      </c>
      <c r="E813" s="42" t="s">
        <v>1634</v>
      </c>
      <c r="F813" s="43" t="s">
        <v>1635</v>
      </c>
      <c r="G813" s="14">
        <v>0</v>
      </c>
      <c r="H813" s="2"/>
      <c r="I813" s="19"/>
      <c r="J813" s="14">
        <v>0</v>
      </c>
      <c r="K813" s="2"/>
      <c r="L813" s="19"/>
      <c r="M813" s="14">
        <v>0</v>
      </c>
      <c r="N813" s="2"/>
      <c r="O813" s="14">
        <v>0</v>
      </c>
      <c r="P813" s="2"/>
      <c r="Q813" s="14">
        <v>0</v>
      </c>
      <c r="R813" s="2"/>
      <c r="S813" s="44">
        <f>[1]!DDIFF(0,0)</f>
        <v>0</v>
      </c>
      <c r="T813" s="2"/>
      <c r="U813" s="1"/>
      <c r="V813" s="62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</row>
    <row r="814" spans="1:67" hidden="1" x14ac:dyDescent="0.25">
      <c r="A814" t="s">
        <v>1636</v>
      </c>
      <c r="E814" s="42" t="s">
        <v>1637</v>
      </c>
      <c r="F814" s="43" t="s">
        <v>1638</v>
      </c>
      <c r="G814" s="14">
        <v>0</v>
      </c>
      <c r="H814" s="2"/>
      <c r="I814" s="19"/>
      <c r="J814" s="14">
        <v>0</v>
      </c>
      <c r="K814" s="2"/>
      <c r="L814" s="19"/>
      <c r="M814" s="14">
        <v>0</v>
      </c>
      <c r="N814" s="2"/>
      <c r="O814" s="14">
        <v>0</v>
      </c>
      <c r="P814" s="2"/>
      <c r="Q814" s="14">
        <v>0</v>
      </c>
      <c r="R814" s="2"/>
      <c r="S814" s="44">
        <f>[1]!DDIFF(0,0)</f>
        <v>0</v>
      </c>
      <c r="T814" s="2"/>
      <c r="U814" s="1"/>
      <c r="V814" s="62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</row>
    <row r="815" spans="1:67" hidden="1" x14ac:dyDescent="0.25">
      <c r="A815" t="s">
        <v>1639</v>
      </c>
      <c r="E815" s="42" t="s">
        <v>1640</v>
      </c>
      <c r="F815" s="43" t="s">
        <v>1641</v>
      </c>
      <c r="G815" s="14">
        <v>0</v>
      </c>
      <c r="H815" s="2"/>
      <c r="I815" s="19"/>
      <c r="J815" s="14">
        <v>0</v>
      </c>
      <c r="K815" s="2"/>
      <c r="L815" s="19"/>
      <c r="M815" s="14">
        <v>0</v>
      </c>
      <c r="N815" s="2"/>
      <c r="O815" s="14">
        <v>0</v>
      </c>
      <c r="P815" s="2"/>
      <c r="Q815" s="14">
        <v>0</v>
      </c>
      <c r="R815" s="2"/>
      <c r="S815" s="44">
        <f>[1]!DDIFF(0,0)</f>
        <v>0</v>
      </c>
      <c r="T815" s="2"/>
      <c r="U815" s="1"/>
      <c r="V815" s="62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</row>
    <row r="816" spans="1:67" hidden="1" x14ac:dyDescent="0.25">
      <c r="A816" t="s">
        <v>1642</v>
      </c>
      <c r="E816" s="42" t="s">
        <v>1643</v>
      </c>
      <c r="F816" s="43" t="s">
        <v>1644</v>
      </c>
      <c r="G816" s="14">
        <v>0</v>
      </c>
      <c r="H816" s="2"/>
      <c r="I816" s="19"/>
      <c r="J816" s="14">
        <v>0</v>
      </c>
      <c r="K816" s="2"/>
      <c r="L816" s="19"/>
      <c r="M816" s="14">
        <v>0</v>
      </c>
      <c r="N816" s="2"/>
      <c r="O816" s="14">
        <v>0</v>
      </c>
      <c r="P816" s="2"/>
      <c r="Q816" s="14">
        <v>0</v>
      </c>
      <c r="R816" s="2"/>
      <c r="S816" s="44">
        <f>[1]!DDIFF(0,0)</f>
        <v>0</v>
      </c>
      <c r="T816" s="2"/>
      <c r="U816" s="1"/>
      <c r="V816" s="62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</row>
    <row r="817" spans="1:67" hidden="1" x14ac:dyDescent="0.25">
      <c r="A817" t="s">
        <v>1645</v>
      </c>
      <c r="E817" s="42" t="s">
        <v>1646</v>
      </c>
      <c r="F817" s="43" t="s">
        <v>1647</v>
      </c>
      <c r="G817" s="14">
        <v>0</v>
      </c>
      <c r="H817" s="2"/>
      <c r="I817" s="19"/>
      <c r="J817" s="14">
        <v>0</v>
      </c>
      <c r="K817" s="2"/>
      <c r="L817" s="19"/>
      <c r="M817" s="14">
        <v>0</v>
      </c>
      <c r="N817" s="2"/>
      <c r="O817" s="14">
        <v>0</v>
      </c>
      <c r="P817" s="2"/>
      <c r="Q817" s="14">
        <v>0</v>
      </c>
      <c r="R817" s="2"/>
      <c r="S817" s="44">
        <f>[1]!DDIFF(0,0)</f>
        <v>0</v>
      </c>
      <c r="T817" s="2"/>
      <c r="U817" s="1"/>
      <c r="V817" s="62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</row>
    <row r="818" spans="1:67" hidden="1" x14ac:dyDescent="0.25">
      <c r="A818" t="s">
        <v>1648</v>
      </c>
      <c r="E818" s="42" t="s">
        <v>1649</v>
      </c>
      <c r="F818" s="43" t="s">
        <v>1650</v>
      </c>
      <c r="G818" s="14">
        <v>0</v>
      </c>
      <c r="H818" s="2"/>
      <c r="I818" s="19"/>
      <c r="J818" s="14">
        <v>0</v>
      </c>
      <c r="K818" s="2"/>
      <c r="L818" s="19"/>
      <c r="M818" s="14">
        <v>0</v>
      </c>
      <c r="N818" s="2"/>
      <c r="O818" s="14">
        <v>0</v>
      </c>
      <c r="P818" s="2"/>
      <c r="Q818" s="14">
        <v>0</v>
      </c>
      <c r="R818" s="2"/>
      <c r="S818" s="44">
        <f>[1]!DDIFF(0,0)</f>
        <v>0</v>
      </c>
      <c r="T818" s="2"/>
      <c r="U818" s="1"/>
      <c r="V818" s="62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</row>
    <row r="819" spans="1:67" hidden="1" x14ac:dyDescent="0.25">
      <c r="A819" t="s">
        <v>1651</v>
      </c>
      <c r="E819" s="42" t="s">
        <v>1652</v>
      </c>
      <c r="F819" s="43" t="s">
        <v>1653</v>
      </c>
      <c r="G819" s="14">
        <v>0</v>
      </c>
      <c r="H819" s="2"/>
      <c r="I819" s="19"/>
      <c r="J819" s="14">
        <v>0</v>
      </c>
      <c r="K819" s="2"/>
      <c r="L819" s="19"/>
      <c r="M819" s="14">
        <v>0</v>
      </c>
      <c r="N819" s="2"/>
      <c r="O819" s="14">
        <v>0</v>
      </c>
      <c r="P819" s="2"/>
      <c r="Q819" s="14">
        <v>0</v>
      </c>
      <c r="R819" s="2"/>
      <c r="S819" s="44">
        <f>[1]!DDIFF(0,0)</f>
        <v>0</v>
      </c>
      <c r="T819" s="2"/>
      <c r="U819" s="1"/>
      <c r="V819" s="62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</row>
    <row r="820" spans="1:67" hidden="1" x14ac:dyDescent="0.25">
      <c r="A820" t="s">
        <v>1654</v>
      </c>
      <c r="E820" s="42" t="s">
        <v>1655</v>
      </c>
      <c r="F820" s="43" t="s">
        <v>1656</v>
      </c>
      <c r="G820" s="14">
        <v>0</v>
      </c>
      <c r="H820" s="2"/>
      <c r="I820" s="19"/>
      <c r="J820" s="14">
        <v>0</v>
      </c>
      <c r="K820" s="2"/>
      <c r="L820" s="19"/>
      <c r="M820" s="14">
        <v>0</v>
      </c>
      <c r="N820" s="2"/>
      <c r="O820" s="14">
        <v>0</v>
      </c>
      <c r="P820" s="2"/>
      <c r="Q820" s="14">
        <v>0</v>
      </c>
      <c r="R820" s="2"/>
      <c r="S820" s="44">
        <f>[1]!DDIFF(0,0)</f>
        <v>0</v>
      </c>
      <c r="T820" s="2"/>
      <c r="U820" s="1"/>
      <c r="V820" s="62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</row>
    <row r="821" spans="1:67" hidden="1" x14ac:dyDescent="0.25">
      <c r="A821" t="s">
        <v>1657</v>
      </c>
      <c r="E821" s="42" t="s">
        <v>1658</v>
      </c>
      <c r="F821" s="43" t="s">
        <v>1659</v>
      </c>
      <c r="G821" s="14">
        <v>0</v>
      </c>
      <c r="H821" s="2"/>
      <c r="I821" s="19"/>
      <c r="J821" s="14">
        <v>0</v>
      </c>
      <c r="K821" s="2"/>
      <c r="L821" s="19"/>
      <c r="M821" s="14">
        <v>0</v>
      </c>
      <c r="N821" s="2"/>
      <c r="O821" s="14">
        <v>0</v>
      </c>
      <c r="P821" s="2"/>
      <c r="Q821" s="14">
        <v>0</v>
      </c>
      <c r="R821" s="2"/>
      <c r="S821" s="44">
        <f>[1]!DDIFF(0,0)</f>
        <v>0</v>
      </c>
      <c r="T821" s="2"/>
      <c r="U821" s="1"/>
      <c r="V821" s="62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</row>
    <row r="822" spans="1:67" hidden="1" x14ac:dyDescent="0.25">
      <c r="A822" t="s">
        <v>1660</v>
      </c>
      <c r="E822" s="42" t="s">
        <v>1661</v>
      </c>
      <c r="F822" s="43" t="s">
        <v>1662</v>
      </c>
      <c r="G822" s="14">
        <v>0</v>
      </c>
      <c r="H822" s="2"/>
      <c r="I822" s="19"/>
      <c r="J822" s="14">
        <v>0</v>
      </c>
      <c r="K822" s="2"/>
      <c r="L822" s="19"/>
      <c r="M822" s="14">
        <v>0</v>
      </c>
      <c r="N822" s="2"/>
      <c r="O822" s="14">
        <v>0</v>
      </c>
      <c r="P822" s="2"/>
      <c r="Q822" s="14">
        <v>0</v>
      </c>
      <c r="R822" s="2"/>
      <c r="S822" s="44">
        <f>[1]!DDIFF(0,0)</f>
        <v>0</v>
      </c>
      <c r="T822" s="2"/>
      <c r="U822" s="1"/>
      <c r="V822" s="62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</row>
    <row r="823" spans="1:67" x14ac:dyDescent="0.25">
      <c r="A823" t="s">
        <v>1663</v>
      </c>
      <c r="E823" s="45" t="s">
        <v>2623</v>
      </c>
      <c r="F823" s="46" t="s">
        <v>2622</v>
      </c>
      <c r="G823" s="15">
        <v>1884635</v>
      </c>
      <c r="H823" s="3"/>
      <c r="I823" s="20"/>
      <c r="J823" s="15">
        <v>49535</v>
      </c>
      <c r="K823" s="3"/>
      <c r="L823" s="20"/>
      <c r="M823" s="15">
        <v>4948</v>
      </c>
      <c r="N823" s="3"/>
      <c r="O823" s="15">
        <v>1939118</v>
      </c>
      <c r="P823" s="3"/>
      <c r="Q823" s="15">
        <v>1257842</v>
      </c>
      <c r="R823" s="3"/>
      <c r="S823" s="47">
        <f>[1]!DDIFF(1257842,1939118)</f>
        <v>681276</v>
      </c>
      <c r="T823" s="3"/>
      <c r="U823" s="1"/>
      <c r="V823" s="62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</row>
    <row r="824" spans="1:67" x14ac:dyDescent="0.25">
      <c r="A824" t="s">
        <v>1664</v>
      </c>
      <c r="H824" s="1"/>
      <c r="K824" s="1"/>
      <c r="N824" s="1"/>
      <c r="P824" s="1"/>
      <c r="R824" s="1"/>
      <c r="T824" s="1"/>
      <c r="U824" s="1"/>
      <c r="V824" s="62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</row>
    <row r="825" spans="1:67" x14ac:dyDescent="0.25">
      <c r="A825" t="s">
        <v>2624</v>
      </c>
      <c r="E825" s="40" t="s">
        <v>2625</v>
      </c>
      <c r="F825" s="41" t="s">
        <v>2626</v>
      </c>
      <c r="H825" s="1"/>
      <c r="K825" s="1"/>
      <c r="N825" s="1"/>
      <c r="P825" s="1"/>
      <c r="R825" s="1"/>
      <c r="T825" s="1"/>
      <c r="U825" s="1"/>
      <c r="V825" s="62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</row>
    <row r="826" spans="1:67" collapsed="1" x14ac:dyDescent="0.25">
      <c r="A826" t="s">
        <v>1674</v>
      </c>
      <c r="E826" s="42" t="s">
        <v>1675</v>
      </c>
      <c r="F826" s="43" t="s">
        <v>1676</v>
      </c>
      <c r="G826" s="14">
        <v>13974</v>
      </c>
      <c r="H826" s="2"/>
      <c r="I826" s="19"/>
      <c r="J826" s="14">
        <v>0</v>
      </c>
      <c r="K826" s="2"/>
      <c r="L826" s="19"/>
      <c r="M826" s="14">
        <v>0</v>
      </c>
      <c r="N826" s="2"/>
      <c r="O826" s="14">
        <v>13974</v>
      </c>
      <c r="P826" s="56" t="s">
        <v>2876</v>
      </c>
      <c r="Q826" s="14">
        <v>13807</v>
      </c>
      <c r="R826" s="2"/>
      <c r="S826" s="44">
        <f>[1]!DDIFF(13807,13974)</f>
        <v>167</v>
      </c>
      <c r="T826" s="2"/>
      <c r="U826" s="1"/>
      <c r="V826" s="62">
        <f>+O826*0.8</f>
        <v>11179.2</v>
      </c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</row>
    <row r="827" spans="1:67" hidden="1" x14ac:dyDescent="0.25">
      <c r="A827" t="s">
        <v>1677</v>
      </c>
      <c r="E827" s="42" t="s">
        <v>1678</v>
      </c>
      <c r="F827" s="43" t="s">
        <v>1679</v>
      </c>
      <c r="G827" s="14">
        <v>0</v>
      </c>
      <c r="H827" s="2"/>
      <c r="I827" s="19"/>
      <c r="J827" s="14">
        <v>0</v>
      </c>
      <c r="K827" s="2"/>
      <c r="L827" s="19"/>
      <c r="M827" s="14">
        <v>0</v>
      </c>
      <c r="N827" s="2"/>
      <c r="O827" s="14">
        <v>0</v>
      </c>
      <c r="P827" s="2"/>
      <c r="Q827" s="14">
        <v>0</v>
      </c>
      <c r="R827" s="2"/>
      <c r="S827" s="44">
        <f>[1]!DDIFF(0,0)</f>
        <v>0</v>
      </c>
      <c r="T827" s="2"/>
      <c r="U827" s="1"/>
      <c r="V827" s="62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</row>
    <row r="828" spans="1:67" collapsed="1" x14ac:dyDescent="0.25">
      <c r="A828" t="s">
        <v>1680</v>
      </c>
      <c r="E828" s="42" t="s">
        <v>1681</v>
      </c>
      <c r="F828" s="43" t="s">
        <v>1682</v>
      </c>
      <c r="G828" s="14">
        <v>70044</v>
      </c>
      <c r="H828" s="2"/>
      <c r="I828" s="19"/>
      <c r="J828" s="14">
        <v>-2400</v>
      </c>
      <c r="K828" s="2"/>
      <c r="L828" s="19"/>
      <c r="M828" s="14">
        <v>0</v>
      </c>
      <c r="N828" s="2"/>
      <c r="O828" s="14">
        <v>67644</v>
      </c>
      <c r="P828" s="56" t="s">
        <v>2877</v>
      </c>
      <c r="Q828" s="14">
        <v>63775</v>
      </c>
      <c r="R828" s="2"/>
      <c r="S828" s="44">
        <f>[1]!DDIFF(63775,67644)</f>
        <v>3869</v>
      </c>
      <c r="T828" s="2"/>
      <c r="U828" s="1"/>
      <c r="V828" s="62">
        <f>+O828*0.2</f>
        <v>13528.800000000001</v>
      </c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</row>
    <row r="829" spans="1:67" hidden="1" outlineLevel="1" x14ac:dyDescent="0.25">
      <c r="A829" t="s">
        <v>2711</v>
      </c>
      <c r="E829" s="7"/>
      <c r="F829" s="10"/>
      <c r="G829" s="14"/>
      <c r="H829" s="2"/>
      <c r="I829" s="54" t="s">
        <v>2701</v>
      </c>
      <c r="J829" s="14">
        <v>-2400</v>
      </c>
      <c r="K829" s="2"/>
      <c r="L829" s="19"/>
      <c r="M829" s="14"/>
      <c r="N829" s="2"/>
      <c r="O829" s="14"/>
      <c r="P829" s="2"/>
      <c r="Q829" s="14"/>
      <c r="R829" s="2"/>
      <c r="S829" s="14"/>
      <c r="T829" s="2"/>
      <c r="U829" s="1"/>
      <c r="V829" s="62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</row>
    <row r="830" spans="1:67" hidden="1" x14ac:dyDescent="0.25">
      <c r="A830" t="s">
        <v>1683</v>
      </c>
      <c r="E830" s="42" t="s">
        <v>1684</v>
      </c>
      <c r="F830" s="43" t="s">
        <v>1685</v>
      </c>
      <c r="G830" s="14">
        <v>0</v>
      </c>
      <c r="H830" s="2"/>
      <c r="I830" s="19"/>
      <c r="J830" s="14">
        <v>0</v>
      </c>
      <c r="K830" s="2"/>
      <c r="L830" s="19"/>
      <c r="M830" s="14">
        <v>0</v>
      </c>
      <c r="N830" s="2"/>
      <c r="O830" s="14">
        <v>0</v>
      </c>
      <c r="P830" s="2"/>
      <c r="Q830" s="14">
        <v>0</v>
      </c>
      <c r="R830" s="2"/>
      <c r="S830" s="44">
        <f>[1]!DDIFF(0,0)</f>
        <v>0</v>
      </c>
      <c r="T830" s="2"/>
      <c r="U830" s="1"/>
      <c r="V830" s="62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</row>
    <row r="831" spans="1:67" hidden="1" x14ac:dyDescent="0.25">
      <c r="A831" t="s">
        <v>1686</v>
      </c>
      <c r="E831" s="42" t="s">
        <v>1687</v>
      </c>
      <c r="F831" s="43" t="s">
        <v>1688</v>
      </c>
      <c r="G831" s="14">
        <v>0</v>
      </c>
      <c r="H831" s="2"/>
      <c r="I831" s="19"/>
      <c r="J831" s="14">
        <v>0</v>
      </c>
      <c r="K831" s="2"/>
      <c r="L831" s="19"/>
      <c r="M831" s="14">
        <v>0</v>
      </c>
      <c r="N831" s="2"/>
      <c r="O831" s="14">
        <v>0</v>
      </c>
      <c r="P831" s="2"/>
      <c r="Q831" s="14">
        <v>0</v>
      </c>
      <c r="R831" s="2"/>
      <c r="S831" s="44">
        <f>[1]!DDIFF(0,0)</f>
        <v>0</v>
      </c>
      <c r="T831" s="2"/>
      <c r="U831" s="1"/>
      <c r="V831" s="62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</row>
    <row r="832" spans="1:67" collapsed="1" x14ac:dyDescent="0.25">
      <c r="A832" t="s">
        <v>1689</v>
      </c>
      <c r="E832" s="42" t="s">
        <v>1690</v>
      </c>
      <c r="F832" s="43" t="s">
        <v>1691</v>
      </c>
      <c r="G832" s="14">
        <v>71665</v>
      </c>
      <c r="H832" s="2"/>
      <c r="I832" s="19"/>
      <c r="J832" s="14">
        <v>-2028</v>
      </c>
      <c r="K832" s="2"/>
      <c r="L832" s="19"/>
      <c r="M832" s="14">
        <v>0</v>
      </c>
      <c r="N832" s="2"/>
      <c r="O832" s="14">
        <v>69637</v>
      </c>
      <c r="P832" s="57" t="s">
        <v>2878</v>
      </c>
      <c r="Q832" s="14">
        <v>44199</v>
      </c>
      <c r="R832" s="2"/>
      <c r="S832" s="44">
        <f>[1]!DDIFF(44199,69637)</f>
        <v>25438</v>
      </c>
      <c r="T832" s="2"/>
      <c r="U832" s="57" t="s">
        <v>2878</v>
      </c>
      <c r="V832" s="62">
        <f>+O832+O835</f>
        <v>72485</v>
      </c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</row>
    <row r="833" spans="1:67" hidden="1" outlineLevel="1" x14ac:dyDescent="0.25">
      <c r="A833" t="s">
        <v>2712</v>
      </c>
      <c r="E833" s="7"/>
      <c r="F833" s="10"/>
      <c r="G833" s="14"/>
      <c r="H833" s="2"/>
      <c r="I833" s="54" t="s">
        <v>2701</v>
      </c>
      <c r="J833" s="14">
        <v>-2028</v>
      </c>
      <c r="K833" s="2"/>
      <c r="L833" s="19"/>
      <c r="M833" s="14"/>
      <c r="N833" s="2"/>
      <c r="O833" s="14"/>
      <c r="P833" s="2"/>
      <c r="Q833" s="14"/>
      <c r="R833" s="2"/>
      <c r="S833" s="14"/>
      <c r="T833" s="2"/>
      <c r="U833" s="1"/>
      <c r="V833" s="62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</row>
    <row r="834" spans="1:67" collapsed="1" x14ac:dyDescent="0.25">
      <c r="A834" t="s">
        <v>1692</v>
      </c>
      <c r="E834" s="42" t="s">
        <v>1693</v>
      </c>
      <c r="F834" s="43" t="s">
        <v>1694</v>
      </c>
      <c r="G834" s="14">
        <v>-13642</v>
      </c>
      <c r="H834" s="2"/>
      <c r="I834" s="19"/>
      <c r="J834" s="14">
        <v>0</v>
      </c>
      <c r="K834" s="2"/>
      <c r="L834" s="19"/>
      <c r="M834" s="14">
        <v>0</v>
      </c>
      <c r="N834" s="2"/>
      <c r="O834" s="14">
        <v>-13642</v>
      </c>
      <c r="P834" s="55" t="s">
        <v>2863</v>
      </c>
      <c r="Q834" s="14">
        <v>13136</v>
      </c>
      <c r="R834" s="2"/>
      <c r="S834" s="44">
        <f>[1]!DDIFF(13136,-13642)</f>
        <v>-26778</v>
      </c>
      <c r="T834" s="2"/>
      <c r="U834" s="1"/>
      <c r="V834" s="62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</row>
    <row r="835" spans="1:67" collapsed="1" x14ac:dyDescent="0.25">
      <c r="A835" t="s">
        <v>1695</v>
      </c>
      <c r="E835" s="42" t="s">
        <v>1696</v>
      </c>
      <c r="F835" s="43" t="s">
        <v>1697</v>
      </c>
      <c r="G835" s="14">
        <v>3001</v>
      </c>
      <c r="H835" s="2"/>
      <c r="I835" s="19"/>
      <c r="J835" s="14">
        <v>-153</v>
      </c>
      <c r="K835" s="2"/>
      <c r="L835" s="19"/>
      <c r="M835" s="14">
        <v>0</v>
      </c>
      <c r="N835" s="2"/>
      <c r="O835" s="14">
        <v>2848</v>
      </c>
      <c r="P835" s="57" t="s">
        <v>2878</v>
      </c>
      <c r="Q835" s="14">
        <v>13484</v>
      </c>
      <c r="R835" s="2"/>
      <c r="S835" s="44">
        <f>[1]!DDIFF(13484,2848)</f>
        <v>-10636</v>
      </c>
      <c r="T835" s="2"/>
      <c r="U835" s="1"/>
      <c r="V835" s="62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</row>
    <row r="836" spans="1:67" hidden="1" outlineLevel="1" x14ac:dyDescent="0.25">
      <c r="A836" t="s">
        <v>2713</v>
      </c>
      <c r="E836" s="7"/>
      <c r="F836" s="10"/>
      <c r="G836" s="14"/>
      <c r="H836" s="2"/>
      <c r="I836" s="54" t="s">
        <v>2701</v>
      </c>
      <c r="J836" s="14">
        <v>-153</v>
      </c>
      <c r="K836" s="2"/>
      <c r="L836" s="19"/>
      <c r="M836" s="14"/>
      <c r="N836" s="2"/>
      <c r="O836" s="14"/>
      <c r="P836" s="2"/>
      <c r="Q836" s="14"/>
      <c r="R836" s="2"/>
      <c r="S836" s="14"/>
      <c r="T836" s="2"/>
      <c r="U836" s="1"/>
      <c r="V836" s="62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</row>
    <row r="837" spans="1:67" collapsed="1" x14ac:dyDescent="0.25">
      <c r="A837" t="s">
        <v>1698</v>
      </c>
      <c r="E837" s="42" t="s">
        <v>1699</v>
      </c>
      <c r="F837" s="43" t="s">
        <v>1700</v>
      </c>
      <c r="G837" s="14">
        <v>46777</v>
      </c>
      <c r="H837" s="2"/>
      <c r="I837" s="19"/>
      <c r="J837" s="14">
        <v>1412</v>
      </c>
      <c r="K837" s="2"/>
      <c r="L837" s="19"/>
      <c r="M837" s="14">
        <v>0</v>
      </c>
      <c r="N837" s="2"/>
      <c r="O837" s="14">
        <v>48189</v>
      </c>
      <c r="P837" s="56" t="s">
        <v>2879</v>
      </c>
      <c r="Q837" s="14">
        <v>38515</v>
      </c>
      <c r="R837" s="2"/>
      <c r="S837" s="44">
        <f>[1]!DDIFF(38515,48189)</f>
        <v>9674</v>
      </c>
      <c r="T837" s="2"/>
      <c r="U837" s="1"/>
      <c r="V837" s="62">
        <f>+O837*0.8</f>
        <v>38551.200000000004</v>
      </c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</row>
    <row r="838" spans="1:67" hidden="1" outlineLevel="1" x14ac:dyDescent="0.25">
      <c r="A838" t="s">
        <v>2751</v>
      </c>
      <c r="E838" s="7"/>
      <c r="F838" s="10"/>
      <c r="G838" s="14"/>
      <c r="H838" s="2"/>
      <c r="I838" s="54" t="s">
        <v>2736</v>
      </c>
      <c r="J838" s="14">
        <v>1412</v>
      </c>
      <c r="K838" s="2"/>
      <c r="L838" s="19"/>
      <c r="M838" s="14"/>
      <c r="N838" s="2"/>
      <c r="O838" s="14"/>
      <c r="P838" s="2"/>
      <c r="Q838" s="14"/>
      <c r="R838" s="2"/>
      <c r="S838" s="14"/>
      <c r="T838" s="2"/>
      <c r="U838" s="1"/>
      <c r="V838" s="62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</row>
    <row r="839" spans="1:67" x14ac:dyDescent="0.25">
      <c r="A839" t="s">
        <v>1701</v>
      </c>
      <c r="E839" s="42" t="s">
        <v>1702</v>
      </c>
      <c r="F839" s="43" t="s">
        <v>1703</v>
      </c>
      <c r="G839" s="14">
        <v>20180</v>
      </c>
      <c r="H839" s="2"/>
      <c r="I839" s="19"/>
      <c r="J839" s="14">
        <v>0</v>
      </c>
      <c r="K839" s="2"/>
      <c r="L839" s="19"/>
      <c r="M839" s="14">
        <v>0</v>
      </c>
      <c r="N839" s="2"/>
      <c r="O839" s="14">
        <v>20180</v>
      </c>
      <c r="P839" s="56">
        <v>633</v>
      </c>
      <c r="Q839" s="14">
        <v>15929</v>
      </c>
      <c r="R839" s="2"/>
      <c r="S839" s="44">
        <f>[1]!DDIFF(15929,20180)</f>
        <v>4251</v>
      </c>
      <c r="T839" s="2"/>
      <c r="U839" s="1"/>
      <c r="V839" s="62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</row>
    <row r="840" spans="1:67" collapsed="1" x14ac:dyDescent="0.25">
      <c r="A840" t="s">
        <v>1704</v>
      </c>
      <c r="E840" s="42" t="s">
        <v>1705</v>
      </c>
      <c r="F840" s="43" t="s">
        <v>1706</v>
      </c>
      <c r="G840" s="14">
        <v>30335</v>
      </c>
      <c r="H840" s="2"/>
      <c r="I840" s="19"/>
      <c r="J840" s="14">
        <v>100</v>
      </c>
      <c r="K840" s="2"/>
      <c r="L840" s="19"/>
      <c r="M840" s="14">
        <v>0</v>
      </c>
      <c r="N840" s="2"/>
      <c r="O840" s="14">
        <v>30435</v>
      </c>
      <c r="P840" s="55" t="s">
        <v>2863</v>
      </c>
      <c r="Q840" s="14">
        <v>75736</v>
      </c>
      <c r="R840" s="2"/>
      <c r="S840" s="44">
        <f>[1]!DDIFF(75736,30435)</f>
        <v>-45301</v>
      </c>
      <c r="T840" s="2"/>
      <c r="U840" s="1"/>
      <c r="V840" s="62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</row>
    <row r="841" spans="1:67" hidden="1" outlineLevel="1" x14ac:dyDescent="0.25">
      <c r="A841" t="s">
        <v>2752</v>
      </c>
      <c r="E841" s="7"/>
      <c r="F841" s="10"/>
      <c r="G841" s="14"/>
      <c r="H841" s="2"/>
      <c r="I841" s="54" t="s">
        <v>2736</v>
      </c>
      <c r="J841" s="14">
        <v>100</v>
      </c>
      <c r="K841" s="2"/>
      <c r="L841" s="19"/>
      <c r="M841" s="14"/>
      <c r="N841" s="2"/>
      <c r="O841" s="14"/>
      <c r="P841" s="2"/>
      <c r="Q841" s="14"/>
      <c r="R841" s="2"/>
      <c r="S841" s="14"/>
      <c r="T841" s="2"/>
      <c r="U841" s="1"/>
      <c r="V841" s="62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</row>
    <row r="842" spans="1:67" hidden="1" x14ac:dyDescent="0.25">
      <c r="A842" t="s">
        <v>1707</v>
      </c>
      <c r="E842" s="42" t="s">
        <v>1708</v>
      </c>
      <c r="F842" s="43" t="s">
        <v>1709</v>
      </c>
      <c r="G842" s="14">
        <v>0</v>
      </c>
      <c r="H842" s="2"/>
      <c r="I842" s="19"/>
      <c r="J842" s="14">
        <v>0</v>
      </c>
      <c r="K842" s="2"/>
      <c r="L842" s="19"/>
      <c r="M842" s="14">
        <v>0</v>
      </c>
      <c r="N842" s="2"/>
      <c r="O842" s="14">
        <v>0</v>
      </c>
      <c r="P842" s="2"/>
      <c r="Q842" s="14">
        <v>0</v>
      </c>
      <c r="R842" s="2"/>
      <c r="S842" s="44">
        <f>[1]!DDIFF(0,0)</f>
        <v>0</v>
      </c>
      <c r="T842" s="2"/>
      <c r="U842" s="1"/>
      <c r="V842" s="62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</row>
    <row r="843" spans="1:67" x14ac:dyDescent="0.25">
      <c r="A843" t="s">
        <v>1710</v>
      </c>
      <c r="E843" s="42" t="s">
        <v>1711</v>
      </c>
      <c r="F843" s="43" t="s">
        <v>1712</v>
      </c>
      <c r="G843" s="14">
        <v>18203</v>
      </c>
      <c r="H843" s="2"/>
      <c r="I843" s="19"/>
      <c r="J843" s="14">
        <v>0</v>
      </c>
      <c r="K843" s="2"/>
      <c r="L843" s="19"/>
      <c r="M843" s="14">
        <v>0</v>
      </c>
      <c r="N843" s="2"/>
      <c r="O843" s="14">
        <v>18203</v>
      </c>
      <c r="P843" s="56" t="s">
        <v>2880</v>
      </c>
      <c r="Q843" s="14">
        <v>18582</v>
      </c>
      <c r="R843" s="2"/>
      <c r="S843" s="44">
        <f>[1]!DDIFF(18582,18203)</f>
        <v>-379</v>
      </c>
      <c r="T843" s="2"/>
      <c r="U843" s="1"/>
      <c r="V843" s="62">
        <f>+O843*0.8</f>
        <v>14562.400000000001</v>
      </c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</row>
    <row r="844" spans="1:67" collapsed="1" x14ac:dyDescent="0.25">
      <c r="A844" t="s">
        <v>1713</v>
      </c>
      <c r="E844" s="42" t="s">
        <v>1714</v>
      </c>
      <c r="F844" s="43" t="s">
        <v>1715</v>
      </c>
      <c r="G844" s="14">
        <v>48995</v>
      </c>
      <c r="H844" s="2"/>
      <c r="I844" s="19"/>
      <c r="J844" s="14">
        <v>0</v>
      </c>
      <c r="K844" s="2"/>
      <c r="L844" s="19"/>
      <c r="M844" s="14">
        <v>0</v>
      </c>
      <c r="N844" s="2"/>
      <c r="O844" s="14">
        <v>48995</v>
      </c>
      <c r="P844" s="56" t="s">
        <v>2881</v>
      </c>
      <c r="Q844" s="14">
        <v>48545</v>
      </c>
      <c r="R844" s="2"/>
      <c r="S844" s="44">
        <f>[1]!DDIFF(48545,48995)</f>
        <v>450</v>
      </c>
      <c r="T844" s="2"/>
      <c r="U844" s="1"/>
      <c r="V844" s="62">
        <f t="shared" ref="V844:V847" si="0">+O844*0.8</f>
        <v>39196</v>
      </c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</row>
    <row r="845" spans="1:67" hidden="1" x14ac:dyDescent="0.25">
      <c r="A845" t="s">
        <v>1716</v>
      </c>
      <c r="E845" s="42" t="s">
        <v>1717</v>
      </c>
      <c r="F845" s="43" t="s">
        <v>1718</v>
      </c>
      <c r="G845" s="14">
        <v>0</v>
      </c>
      <c r="H845" s="2"/>
      <c r="I845" s="19"/>
      <c r="J845" s="14">
        <v>0</v>
      </c>
      <c r="K845" s="2"/>
      <c r="L845" s="19"/>
      <c r="M845" s="14">
        <v>0</v>
      </c>
      <c r="N845" s="2"/>
      <c r="O845" s="14">
        <v>0</v>
      </c>
      <c r="P845" s="2"/>
      <c r="Q845" s="14">
        <v>0</v>
      </c>
      <c r="R845" s="2"/>
      <c r="S845" s="44">
        <f>[1]!DDIFF(0,0)</f>
        <v>0</v>
      </c>
      <c r="T845" s="2"/>
      <c r="U845" s="1"/>
      <c r="V845" s="62">
        <f t="shared" si="0"/>
        <v>0</v>
      </c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</row>
    <row r="846" spans="1:67" hidden="1" x14ac:dyDescent="0.25">
      <c r="A846" t="s">
        <v>1719</v>
      </c>
      <c r="E846" s="42" t="s">
        <v>1720</v>
      </c>
      <c r="F846" s="43" t="s">
        <v>1721</v>
      </c>
      <c r="G846" s="14">
        <v>0</v>
      </c>
      <c r="H846" s="2"/>
      <c r="I846" s="19"/>
      <c r="J846" s="14">
        <v>0</v>
      </c>
      <c r="K846" s="2"/>
      <c r="L846" s="19"/>
      <c r="M846" s="14">
        <v>0</v>
      </c>
      <c r="N846" s="2"/>
      <c r="O846" s="14">
        <v>0</v>
      </c>
      <c r="P846" s="2"/>
      <c r="Q846" s="14">
        <v>0</v>
      </c>
      <c r="R846" s="2"/>
      <c r="S846" s="44">
        <f>[1]!DDIFF(0,0)</f>
        <v>0</v>
      </c>
      <c r="T846" s="2"/>
      <c r="U846" s="1"/>
      <c r="V846" s="62">
        <f t="shared" si="0"/>
        <v>0</v>
      </c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</row>
    <row r="847" spans="1:67" x14ac:dyDescent="0.25">
      <c r="A847" t="s">
        <v>1722</v>
      </c>
      <c r="E847" s="42" t="s">
        <v>1723</v>
      </c>
      <c r="F847" s="43" t="s">
        <v>1724</v>
      </c>
      <c r="G847" s="14">
        <v>229</v>
      </c>
      <c r="H847" s="2"/>
      <c r="I847" s="19"/>
      <c r="J847" s="14">
        <v>0</v>
      </c>
      <c r="K847" s="2"/>
      <c r="L847" s="19"/>
      <c r="M847" s="14">
        <v>0</v>
      </c>
      <c r="N847" s="2"/>
      <c r="O847" s="14">
        <v>229</v>
      </c>
      <c r="P847" s="56" t="s">
        <v>2882</v>
      </c>
      <c r="Q847" s="14">
        <v>1200</v>
      </c>
      <c r="R847" s="2"/>
      <c r="S847" s="44">
        <f>[1]!DDIFF(1200,229)</f>
        <v>-971</v>
      </c>
      <c r="T847" s="2"/>
      <c r="U847" s="1"/>
      <c r="V847" s="62">
        <f t="shared" si="0"/>
        <v>183.20000000000002</v>
      </c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</row>
    <row r="848" spans="1:67" hidden="1" x14ac:dyDescent="0.25">
      <c r="A848" t="s">
        <v>1725</v>
      </c>
      <c r="E848" s="42" t="s">
        <v>1726</v>
      </c>
      <c r="F848" s="43" t="s">
        <v>1727</v>
      </c>
      <c r="G848" s="14">
        <v>0</v>
      </c>
      <c r="H848" s="2"/>
      <c r="I848" s="19"/>
      <c r="J848" s="14">
        <v>0</v>
      </c>
      <c r="K848" s="2"/>
      <c r="L848" s="19"/>
      <c r="M848" s="14">
        <v>0</v>
      </c>
      <c r="N848" s="2"/>
      <c r="O848" s="14">
        <v>0</v>
      </c>
      <c r="P848" s="2"/>
      <c r="Q848" s="14">
        <v>0</v>
      </c>
      <c r="R848" s="2"/>
      <c r="S848" s="44">
        <f>[1]!DDIFF(0,0)</f>
        <v>0</v>
      </c>
      <c r="T848" s="2"/>
      <c r="U848" s="1"/>
      <c r="V848" s="62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</row>
    <row r="849" spans="1:67" x14ac:dyDescent="0.25">
      <c r="A849" t="s">
        <v>1728</v>
      </c>
      <c r="E849" s="42" t="s">
        <v>1729</v>
      </c>
      <c r="F849" s="43" t="s">
        <v>1730</v>
      </c>
      <c r="G849" s="14">
        <v>3653</v>
      </c>
      <c r="H849" s="2"/>
      <c r="I849" s="19"/>
      <c r="J849" s="14">
        <v>0</v>
      </c>
      <c r="K849" s="2"/>
      <c r="L849" s="19"/>
      <c r="M849" s="14">
        <v>0</v>
      </c>
      <c r="N849" s="2"/>
      <c r="O849" s="14">
        <v>3653</v>
      </c>
      <c r="P849" s="56" t="s">
        <v>2883</v>
      </c>
      <c r="Q849" s="14">
        <v>5352</v>
      </c>
      <c r="R849" s="2"/>
      <c r="S849" s="44">
        <f>[1]!DDIFF(5352,3653)</f>
        <v>-1699</v>
      </c>
      <c r="T849" s="2"/>
      <c r="U849" s="56" t="s">
        <v>2885</v>
      </c>
      <c r="V849" s="62">
        <f>(+O849+O850+O854)*0.8</f>
        <v>4542.4000000000005</v>
      </c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</row>
    <row r="850" spans="1:67" x14ac:dyDescent="0.25">
      <c r="A850" t="s">
        <v>1731</v>
      </c>
      <c r="E850" s="42" t="s">
        <v>1732</v>
      </c>
      <c r="F850" s="43" t="s">
        <v>1733</v>
      </c>
      <c r="G850" s="14">
        <v>120</v>
      </c>
      <c r="H850" s="2"/>
      <c r="I850" s="19"/>
      <c r="J850" s="14">
        <v>0</v>
      </c>
      <c r="K850" s="2"/>
      <c r="L850" s="19"/>
      <c r="M850" s="14">
        <v>0</v>
      </c>
      <c r="N850" s="2"/>
      <c r="O850" s="14">
        <v>120</v>
      </c>
      <c r="P850" s="56" t="s">
        <v>2883</v>
      </c>
      <c r="Q850" s="14">
        <v>2287</v>
      </c>
      <c r="R850" s="2"/>
      <c r="S850" s="44">
        <f>[1]!DDIFF(2287,120)</f>
        <v>-2167</v>
      </c>
      <c r="T850" s="2"/>
      <c r="U850" s="1"/>
      <c r="V850" s="62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</row>
    <row r="851" spans="1:67" collapsed="1" x14ac:dyDescent="0.25">
      <c r="A851" t="s">
        <v>1734</v>
      </c>
      <c r="E851" s="42" t="s">
        <v>1735</v>
      </c>
      <c r="F851" s="43" t="s">
        <v>1736</v>
      </c>
      <c r="G851" s="14">
        <v>32259</v>
      </c>
      <c r="H851" s="2"/>
      <c r="I851" s="19"/>
      <c r="J851" s="14">
        <v>229</v>
      </c>
      <c r="K851" s="2"/>
      <c r="L851" s="19"/>
      <c r="M851" s="14">
        <v>0</v>
      </c>
      <c r="N851" s="2"/>
      <c r="O851" s="14">
        <v>32488</v>
      </c>
      <c r="P851" s="56" t="s">
        <v>2884</v>
      </c>
      <c r="Q851" s="14">
        <v>26259</v>
      </c>
      <c r="R851" s="2"/>
      <c r="S851" s="44">
        <f>[1]!DDIFF(26259,32488)</f>
        <v>6229</v>
      </c>
      <c r="T851" s="2"/>
      <c r="U851" s="1"/>
      <c r="V851" s="62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</row>
    <row r="852" spans="1:67" hidden="1" outlineLevel="1" x14ac:dyDescent="0.25">
      <c r="A852" t="s">
        <v>2714</v>
      </c>
      <c r="E852" s="7"/>
      <c r="F852" s="10"/>
      <c r="G852" s="14"/>
      <c r="H852" s="2"/>
      <c r="I852" s="54" t="s">
        <v>2701</v>
      </c>
      <c r="J852" s="14">
        <v>-111</v>
      </c>
      <c r="K852" s="2"/>
      <c r="L852" s="19"/>
      <c r="M852" s="14"/>
      <c r="N852" s="2"/>
      <c r="O852" s="14"/>
      <c r="P852" s="2"/>
      <c r="Q852" s="14"/>
      <c r="R852" s="2"/>
      <c r="S852" s="14"/>
      <c r="T852" s="2"/>
      <c r="U852" s="1"/>
      <c r="V852" s="62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</row>
    <row r="853" spans="1:67" hidden="1" outlineLevel="1" x14ac:dyDescent="0.25">
      <c r="A853" t="s">
        <v>2753</v>
      </c>
      <c r="E853" s="7"/>
      <c r="F853" s="10"/>
      <c r="G853" s="14"/>
      <c r="H853" s="2"/>
      <c r="I853" s="54" t="s">
        <v>2736</v>
      </c>
      <c r="J853" s="14">
        <v>340</v>
      </c>
      <c r="K853" s="2"/>
      <c r="L853" s="19"/>
      <c r="M853" s="14"/>
      <c r="N853" s="2"/>
      <c r="O853" s="14"/>
      <c r="P853" s="2"/>
      <c r="Q853" s="14"/>
      <c r="R853" s="2"/>
      <c r="S853" s="14"/>
      <c r="T853" s="2"/>
      <c r="U853" s="1"/>
      <c r="V853" s="62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</row>
    <row r="854" spans="1:67" x14ac:dyDescent="0.25">
      <c r="A854" t="s">
        <v>1737</v>
      </c>
      <c r="E854" s="42" t="s">
        <v>1738</v>
      </c>
      <c r="F854" s="43" t="s">
        <v>1739</v>
      </c>
      <c r="G854" s="14">
        <v>1905</v>
      </c>
      <c r="H854" s="2"/>
      <c r="I854" s="19"/>
      <c r="J854" s="14">
        <v>0</v>
      </c>
      <c r="K854" s="2"/>
      <c r="L854" s="19"/>
      <c r="M854" s="14">
        <v>0</v>
      </c>
      <c r="N854" s="2"/>
      <c r="O854" s="14">
        <v>1905</v>
      </c>
      <c r="P854" s="56" t="s">
        <v>2883</v>
      </c>
      <c r="Q854" s="14">
        <v>2502</v>
      </c>
      <c r="R854" s="2"/>
      <c r="S854" s="44">
        <f>[1]!DDIFF(2502,1905)</f>
        <v>-597</v>
      </c>
      <c r="T854" s="2"/>
      <c r="U854" s="1"/>
      <c r="V854" s="62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</row>
    <row r="855" spans="1:67" hidden="1" x14ac:dyDescent="0.25">
      <c r="A855" t="s">
        <v>1743</v>
      </c>
      <c r="E855" s="42" t="s">
        <v>1744</v>
      </c>
      <c r="F855" s="43" t="s">
        <v>1745</v>
      </c>
      <c r="G855" s="14">
        <v>0</v>
      </c>
      <c r="H855" s="2"/>
      <c r="I855" s="19"/>
      <c r="J855" s="14">
        <v>0</v>
      </c>
      <c r="K855" s="2"/>
      <c r="L855" s="19"/>
      <c r="M855" s="14">
        <v>0</v>
      </c>
      <c r="N855" s="2"/>
      <c r="O855" s="14">
        <v>0</v>
      </c>
      <c r="P855" s="2"/>
      <c r="Q855" s="14">
        <v>0</v>
      </c>
      <c r="R855" s="2"/>
      <c r="S855" s="44">
        <f>[1]!DDIFF(0,0)</f>
        <v>0</v>
      </c>
      <c r="T855" s="2"/>
      <c r="U855" s="1"/>
      <c r="V855" s="62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</row>
    <row r="856" spans="1:67" hidden="1" x14ac:dyDescent="0.25">
      <c r="A856" t="s">
        <v>1746</v>
      </c>
      <c r="E856" s="42" t="s">
        <v>1747</v>
      </c>
      <c r="F856" s="43" t="s">
        <v>1748</v>
      </c>
      <c r="G856" s="14">
        <v>0</v>
      </c>
      <c r="H856" s="2"/>
      <c r="I856" s="19"/>
      <c r="J856" s="14">
        <v>0</v>
      </c>
      <c r="K856" s="2"/>
      <c r="L856" s="19"/>
      <c r="M856" s="14">
        <v>0</v>
      </c>
      <c r="N856" s="2"/>
      <c r="O856" s="14">
        <v>0</v>
      </c>
      <c r="P856" s="2"/>
      <c r="Q856" s="14">
        <v>0</v>
      </c>
      <c r="R856" s="2"/>
      <c r="S856" s="44">
        <f>[1]!DDIFF(0,0)</f>
        <v>0</v>
      </c>
      <c r="T856" s="2"/>
      <c r="U856" s="1"/>
      <c r="V856" s="62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</row>
    <row r="857" spans="1:67" x14ac:dyDescent="0.25">
      <c r="A857" t="s">
        <v>2627</v>
      </c>
      <c r="E857" s="45" t="s">
        <v>2628</v>
      </c>
      <c r="F857" s="46" t="s">
        <v>2626</v>
      </c>
      <c r="G857" s="15">
        <v>347698</v>
      </c>
      <c r="H857" s="3"/>
      <c r="I857" s="20"/>
      <c r="J857" s="15">
        <v>-2840</v>
      </c>
      <c r="K857" s="3"/>
      <c r="L857" s="20"/>
      <c r="M857" s="15">
        <v>0</v>
      </c>
      <c r="N857" s="3"/>
      <c r="O857" s="15">
        <v>344858</v>
      </c>
      <c r="P857" s="3"/>
      <c r="Q857" s="15">
        <v>383308</v>
      </c>
      <c r="R857" s="3"/>
      <c r="S857" s="47">
        <f>[1]!DDIFF(383308,344858)</f>
        <v>-38450</v>
      </c>
      <c r="T857" s="3"/>
      <c r="U857" s="1"/>
      <c r="V857" s="62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</row>
    <row r="858" spans="1:67" x14ac:dyDescent="0.25">
      <c r="A858" t="s">
        <v>2629</v>
      </c>
      <c r="H858" s="1"/>
      <c r="K858" s="1"/>
      <c r="N858" s="1"/>
      <c r="P858" s="1"/>
      <c r="R858" s="1"/>
      <c r="T858" s="1"/>
      <c r="U858" s="1"/>
      <c r="V858" s="62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</row>
    <row r="859" spans="1:67" x14ac:dyDescent="0.25">
      <c r="A859" t="s">
        <v>2630</v>
      </c>
      <c r="E859" s="40" t="s">
        <v>2631</v>
      </c>
      <c r="F859" s="41" t="s">
        <v>2632</v>
      </c>
      <c r="H859" s="1"/>
      <c r="K859" s="1"/>
      <c r="N859" s="1"/>
      <c r="P859" s="1"/>
      <c r="R859" s="1"/>
      <c r="T859" s="1"/>
      <c r="U859" s="1"/>
      <c r="V859" s="62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</row>
    <row r="860" spans="1:67" hidden="1" x14ac:dyDescent="0.25">
      <c r="A860" t="s">
        <v>1749</v>
      </c>
      <c r="E860" s="42" t="s">
        <v>1750</v>
      </c>
      <c r="F860" s="43" t="s">
        <v>1751</v>
      </c>
      <c r="G860" s="14">
        <v>0</v>
      </c>
      <c r="H860" s="2"/>
      <c r="I860" s="19"/>
      <c r="J860" s="14">
        <v>0</v>
      </c>
      <c r="K860" s="2"/>
      <c r="L860" s="19"/>
      <c r="M860" s="14">
        <v>0</v>
      </c>
      <c r="N860" s="2"/>
      <c r="O860" s="14">
        <v>0</v>
      </c>
      <c r="P860" s="2"/>
      <c r="Q860" s="14">
        <v>0</v>
      </c>
      <c r="R860" s="2"/>
      <c r="S860" s="44">
        <f>[1]!DDIFF(0,0)</f>
        <v>0</v>
      </c>
      <c r="T860" s="2"/>
      <c r="U860" s="1"/>
      <c r="V860" s="62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</row>
    <row r="861" spans="1:67" x14ac:dyDescent="0.25">
      <c r="A861" t="s">
        <v>1752</v>
      </c>
      <c r="E861" s="42" t="s">
        <v>1753</v>
      </c>
      <c r="F861" s="43" t="s">
        <v>1754</v>
      </c>
      <c r="G861" s="14">
        <v>23422</v>
      </c>
      <c r="H861" s="2"/>
      <c r="I861" s="19"/>
      <c r="J861" s="14">
        <v>0</v>
      </c>
      <c r="K861" s="2"/>
      <c r="L861" s="19"/>
      <c r="M861" s="14">
        <v>0</v>
      </c>
      <c r="N861" s="2"/>
      <c r="O861" s="14">
        <v>23422</v>
      </c>
      <c r="P861" s="55" t="s">
        <v>2863</v>
      </c>
      <c r="Q861" s="14">
        <v>18637</v>
      </c>
      <c r="R861" s="2"/>
      <c r="S861" s="44">
        <f>[1]!DDIFF(18637,23422)</f>
        <v>4785</v>
      </c>
      <c r="T861" s="2"/>
      <c r="U861" s="1"/>
      <c r="V861" s="62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</row>
    <row r="862" spans="1:67" hidden="1" x14ac:dyDescent="0.25">
      <c r="A862" t="s">
        <v>1773</v>
      </c>
      <c r="E862" s="42" t="s">
        <v>1774</v>
      </c>
      <c r="F862" s="43" t="s">
        <v>1775</v>
      </c>
      <c r="G862" s="14">
        <v>0</v>
      </c>
      <c r="H862" s="2"/>
      <c r="I862" s="19"/>
      <c r="J862" s="14">
        <v>0</v>
      </c>
      <c r="K862" s="2"/>
      <c r="L862" s="19"/>
      <c r="M862" s="14">
        <v>0</v>
      </c>
      <c r="N862" s="2"/>
      <c r="O862" s="14">
        <v>0</v>
      </c>
      <c r="P862" s="2"/>
      <c r="Q862" s="14">
        <v>0</v>
      </c>
      <c r="R862" s="2"/>
      <c r="S862" s="44">
        <f>[1]!DDIFF(0,0)</f>
        <v>0</v>
      </c>
      <c r="T862" s="2"/>
      <c r="U862" s="1"/>
      <c r="V862" s="62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</row>
    <row r="863" spans="1:67" hidden="1" x14ac:dyDescent="0.25">
      <c r="A863" t="s">
        <v>1779</v>
      </c>
      <c r="E863" s="42" t="s">
        <v>1780</v>
      </c>
      <c r="F863" s="43" t="s">
        <v>1781</v>
      </c>
      <c r="G863" s="14">
        <v>0</v>
      </c>
      <c r="H863" s="2"/>
      <c r="I863" s="19"/>
      <c r="J863" s="14">
        <v>0</v>
      </c>
      <c r="K863" s="2"/>
      <c r="L863" s="19"/>
      <c r="M863" s="14">
        <v>0</v>
      </c>
      <c r="N863" s="2"/>
      <c r="O863" s="14">
        <v>0</v>
      </c>
      <c r="P863" s="2"/>
      <c r="Q863" s="14">
        <v>0</v>
      </c>
      <c r="R863" s="2"/>
      <c r="S863" s="44">
        <f>[1]!DDIFF(0,0)</f>
        <v>0</v>
      </c>
      <c r="T863" s="2"/>
      <c r="U863" s="1"/>
      <c r="V863" s="62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</row>
    <row r="864" spans="1:67" hidden="1" x14ac:dyDescent="0.25">
      <c r="A864" t="s">
        <v>1782</v>
      </c>
      <c r="E864" s="42" t="s">
        <v>1783</v>
      </c>
      <c r="F864" s="43" t="s">
        <v>1784</v>
      </c>
      <c r="G864" s="14">
        <v>0</v>
      </c>
      <c r="H864" s="2"/>
      <c r="I864" s="19"/>
      <c r="J864" s="14">
        <v>0</v>
      </c>
      <c r="K864" s="2"/>
      <c r="L864" s="19"/>
      <c r="M864" s="14">
        <v>0</v>
      </c>
      <c r="N864" s="2"/>
      <c r="O864" s="14">
        <v>0</v>
      </c>
      <c r="P864" s="2"/>
      <c r="Q864" s="14">
        <v>0</v>
      </c>
      <c r="R864" s="2"/>
      <c r="S864" s="44">
        <f>[1]!DDIFF(0,0)</f>
        <v>0</v>
      </c>
      <c r="T864" s="2"/>
      <c r="U864" s="1"/>
      <c r="V864" s="62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</row>
    <row r="865" spans="1:67" hidden="1" x14ac:dyDescent="0.25">
      <c r="A865" t="s">
        <v>1785</v>
      </c>
      <c r="E865" s="42" t="s">
        <v>1786</v>
      </c>
      <c r="F865" s="43" t="s">
        <v>1787</v>
      </c>
      <c r="G865" s="14">
        <v>0</v>
      </c>
      <c r="H865" s="2"/>
      <c r="I865" s="19"/>
      <c r="J865" s="14">
        <v>0</v>
      </c>
      <c r="K865" s="2"/>
      <c r="L865" s="19"/>
      <c r="M865" s="14">
        <v>0</v>
      </c>
      <c r="N865" s="2"/>
      <c r="O865" s="14">
        <v>0</v>
      </c>
      <c r="P865" s="2"/>
      <c r="Q865" s="14">
        <v>0</v>
      </c>
      <c r="R865" s="2"/>
      <c r="S865" s="44">
        <f>[1]!DDIFF(0,0)</f>
        <v>0</v>
      </c>
      <c r="T865" s="2"/>
      <c r="U865" s="1"/>
      <c r="V865" s="62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</row>
    <row r="866" spans="1:67" hidden="1" x14ac:dyDescent="0.25">
      <c r="A866" t="s">
        <v>1788</v>
      </c>
      <c r="E866" s="42" t="s">
        <v>1789</v>
      </c>
      <c r="F866" s="43" t="s">
        <v>1790</v>
      </c>
      <c r="G866" s="14">
        <v>0</v>
      </c>
      <c r="H866" s="2"/>
      <c r="I866" s="19"/>
      <c r="J866" s="14">
        <v>0</v>
      </c>
      <c r="K866" s="2"/>
      <c r="L866" s="19"/>
      <c r="M866" s="14">
        <v>0</v>
      </c>
      <c r="N866" s="2"/>
      <c r="O866" s="14">
        <v>0</v>
      </c>
      <c r="P866" s="2"/>
      <c r="Q866" s="14">
        <v>0</v>
      </c>
      <c r="R866" s="2"/>
      <c r="S866" s="44">
        <f>[1]!DDIFF(0,0)</f>
        <v>0</v>
      </c>
      <c r="T866" s="2"/>
      <c r="U866" s="1"/>
      <c r="V866" s="62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</row>
    <row r="867" spans="1:67" hidden="1" x14ac:dyDescent="0.25">
      <c r="A867" t="s">
        <v>1791</v>
      </c>
      <c r="E867" s="42" t="s">
        <v>1792</v>
      </c>
      <c r="F867" s="43" t="s">
        <v>1793</v>
      </c>
      <c r="G867" s="14">
        <v>0</v>
      </c>
      <c r="H867" s="2"/>
      <c r="I867" s="19"/>
      <c r="J867" s="14">
        <v>0</v>
      </c>
      <c r="K867" s="2"/>
      <c r="L867" s="19"/>
      <c r="M867" s="14">
        <v>0</v>
      </c>
      <c r="N867" s="2"/>
      <c r="O867" s="14">
        <v>0</v>
      </c>
      <c r="P867" s="2"/>
      <c r="Q867" s="14">
        <v>0</v>
      </c>
      <c r="R867" s="2"/>
      <c r="S867" s="44">
        <f>[1]!DDIFF(0,0)</f>
        <v>0</v>
      </c>
      <c r="T867" s="2"/>
      <c r="U867" s="1"/>
      <c r="V867" s="62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</row>
    <row r="868" spans="1:67" hidden="1" x14ac:dyDescent="0.25">
      <c r="A868" t="s">
        <v>1794</v>
      </c>
      <c r="E868" s="42" t="s">
        <v>1795</v>
      </c>
      <c r="F868" s="43" t="s">
        <v>1796</v>
      </c>
      <c r="G868" s="14">
        <v>0</v>
      </c>
      <c r="H868" s="2"/>
      <c r="I868" s="19"/>
      <c r="J868" s="14">
        <v>0</v>
      </c>
      <c r="K868" s="2"/>
      <c r="L868" s="19"/>
      <c r="M868" s="14">
        <v>0</v>
      </c>
      <c r="N868" s="2"/>
      <c r="O868" s="14">
        <v>0</v>
      </c>
      <c r="P868" s="2"/>
      <c r="Q868" s="14">
        <v>0</v>
      </c>
      <c r="R868" s="2"/>
      <c r="S868" s="44">
        <f>[1]!DDIFF(0,0)</f>
        <v>0</v>
      </c>
      <c r="T868" s="2"/>
      <c r="U868" s="1"/>
      <c r="V868" s="62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</row>
    <row r="869" spans="1:67" hidden="1" x14ac:dyDescent="0.25">
      <c r="A869" t="s">
        <v>1797</v>
      </c>
      <c r="E869" s="42" t="s">
        <v>1798</v>
      </c>
      <c r="F869" s="43" t="s">
        <v>1799</v>
      </c>
      <c r="G869" s="14">
        <v>0</v>
      </c>
      <c r="H869" s="2"/>
      <c r="I869" s="19"/>
      <c r="J869" s="14">
        <v>0</v>
      </c>
      <c r="K869" s="2"/>
      <c r="L869" s="19"/>
      <c r="M869" s="14">
        <v>0</v>
      </c>
      <c r="N869" s="2"/>
      <c r="O869" s="14">
        <v>0</v>
      </c>
      <c r="P869" s="2"/>
      <c r="Q869" s="14">
        <v>0</v>
      </c>
      <c r="R869" s="2"/>
      <c r="S869" s="44">
        <f>[1]!DDIFF(0,0)</f>
        <v>0</v>
      </c>
      <c r="T869" s="2"/>
      <c r="U869" s="1"/>
      <c r="V869" s="62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</row>
    <row r="870" spans="1:67" hidden="1" x14ac:dyDescent="0.25">
      <c r="A870" t="s">
        <v>1800</v>
      </c>
      <c r="E870" s="42" t="s">
        <v>1801</v>
      </c>
      <c r="F870" s="43" t="s">
        <v>1802</v>
      </c>
      <c r="G870" s="14">
        <v>0</v>
      </c>
      <c r="H870" s="2"/>
      <c r="I870" s="19"/>
      <c r="J870" s="14">
        <v>0</v>
      </c>
      <c r="K870" s="2"/>
      <c r="L870" s="19"/>
      <c r="M870" s="14">
        <v>0</v>
      </c>
      <c r="N870" s="2"/>
      <c r="O870" s="14">
        <v>0</v>
      </c>
      <c r="P870" s="2"/>
      <c r="Q870" s="14">
        <v>0</v>
      </c>
      <c r="R870" s="2"/>
      <c r="S870" s="44">
        <f>[1]!DDIFF(0,0)</f>
        <v>0</v>
      </c>
      <c r="T870" s="2"/>
      <c r="U870" s="1"/>
      <c r="V870" s="62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</row>
    <row r="871" spans="1:67" hidden="1" x14ac:dyDescent="0.25">
      <c r="A871" t="s">
        <v>1806</v>
      </c>
      <c r="E871" s="42" t="s">
        <v>1807</v>
      </c>
      <c r="F871" s="43" t="s">
        <v>1808</v>
      </c>
      <c r="G871" s="14">
        <v>0</v>
      </c>
      <c r="H871" s="2"/>
      <c r="I871" s="19"/>
      <c r="J871" s="14">
        <v>0</v>
      </c>
      <c r="K871" s="2"/>
      <c r="L871" s="19"/>
      <c r="M871" s="14">
        <v>0</v>
      </c>
      <c r="N871" s="2"/>
      <c r="O871" s="14">
        <v>0</v>
      </c>
      <c r="P871" s="2"/>
      <c r="Q871" s="14">
        <v>0</v>
      </c>
      <c r="R871" s="2"/>
      <c r="S871" s="44">
        <f>[1]!DDIFF(0,0)</f>
        <v>0</v>
      </c>
      <c r="T871" s="2"/>
      <c r="U871" s="1"/>
      <c r="V871" s="62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</row>
    <row r="872" spans="1:67" hidden="1" x14ac:dyDescent="0.25">
      <c r="A872" t="s">
        <v>1809</v>
      </c>
      <c r="E872" s="42" t="s">
        <v>1810</v>
      </c>
      <c r="F872" s="43" t="s">
        <v>1448</v>
      </c>
      <c r="G872" s="14">
        <v>0</v>
      </c>
      <c r="H872" s="2"/>
      <c r="I872" s="19"/>
      <c r="J872" s="14">
        <v>0</v>
      </c>
      <c r="K872" s="2"/>
      <c r="L872" s="19"/>
      <c r="M872" s="14">
        <v>0</v>
      </c>
      <c r="N872" s="2"/>
      <c r="O872" s="14">
        <v>0</v>
      </c>
      <c r="P872" s="2"/>
      <c r="Q872" s="14">
        <v>0</v>
      </c>
      <c r="R872" s="2"/>
      <c r="S872" s="44">
        <f>[1]!DDIFF(0,0)</f>
        <v>0</v>
      </c>
      <c r="T872" s="2"/>
      <c r="U872" s="1"/>
      <c r="V872" s="62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</row>
    <row r="873" spans="1:67" x14ac:dyDescent="0.25">
      <c r="A873" t="s">
        <v>1811</v>
      </c>
      <c r="E873" s="42" t="s">
        <v>1812</v>
      </c>
      <c r="F873" s="43" t="s">
        <v>1813</v>
      </c>
      <c r="G873" s="14">
        <v>72207</v>
      </c>
      <c r="H873" s="2"/>
      <c r="I873" s="19"/>
      <c r="J873" s="14">
        <v>0</v>
      </c>
      <c r="K873" s="2"/>
      <c r="L873" s="19"/>
      <c r="M873" s="14">
        <v>0</v>
      </c>
      <c r="N873" s="2"/>
      <c r="O873" s="14">
        <v>72207</v>
      </c>
      <c r="P873" s="55" t="s">
        <v>2863</v>
      </c>
      <c r="Q873" s="14">
        <v>71548</v>
      </c>
      <c r="R873" s="2"/>
      <c r="S873" s="44">
        <f>[1]!DDIFF(71548,72207)</f>
        <v>659</v>
      </c>
      <c r="T873" s="2"/>
      <c r="U873" s="1"/>
      <c r="V873" s="62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</row>
    <row r="874" spans="1:67" ht="23.25" hidden="1" x14ac:dyDescent="0.25">
      <c r="A874" t="s">
        <v>1814</v>
      </c>
      <c r="E874" s="42" t="s">
        <v>1815</v>
      </c>
      <c r="F874" s="43" t="s">
        <v>1751</v>
      </c>
      <c r="G874" s="14">
        <v>0</v>
      </c>
      <c r="H874" s="2"/>
      <c r="I874" s="19"/>
      <c r="J874" s="14">
        <v>0</v>
      </c>
      <c r="K874" s="2"/>
      <c r="L874" s="19"/>
      <c r="M874" s="14">
        <v>0</v>
      </c>
      <c r="N874" s="2"/>
      <c r="O874" s="14">
        <v>0</v>
      </c>
      <c r="P874" s="55"/>
      <c r="Q874" s="14">
        <v>0</v>
      </c>
      <c r="R874" s="2"/>
      <c r="S874" s="44">
        <f>[1]!DDIFF(0,0)</f>
        <v>0</v>
      </c>
      <c r="T874" s="2"/>
      <c r="U874" s="1"/>
      <c r="V874" s="62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</row>
    <row r="875" spans="1:67" x14ac:dyDescent="0.25">
      <c r="A875" t="s">
        <v>1816</v>
      </c>
      <c r="E875" s="42" t="s">
        <v>1817</v>
      </c>
      <c r="F875" s="43" t="s">
        <v>1754</v>
      </c>
      <c r="G875" s="14">
        <v>93686</v>
      </c>
      <c r="H875" s="2"/>
      <c r="I875" s="19"/>
      <c r="J875" s="14">
        <v>0</v>
      </c>
      <c r="K875" s="2"/>
      <c r="L875" s="19"/>
      <c r="M875" s="14">
        <v>0</v>
      </c>
      <c r="N875" s="2"/>
      <c r="O875" s="14">
        <v>93686</v>
      </c>
      <c r="P875" s="56" t="s">
        <v>2886</v>
      </c>
      <c r="Q875" s="14">
        <v>74547</v>
      </c>
      <c r="R875" s="2"/>
      <c r="S875" s="44">
        <f>[1]!DDIFF(74547,93686)</f>
        <v>19139</v>
      </c>
      <c r="T875" s="2"/>
      <c r="U875" s="56" t="s">
        <v>2887</v>
      </c>
      <c r="V875" s="62">
        <f>+O875*0.8</f>
        <v>74948.800000000003</v>
      </c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</row>
    <row r="876" spans="1:67" hidden="1" x14ac:dyDescent="0.25">
      <c r="A876" t="s">
        <v>1832</v>
      </c>
      <c r="E876" s="42" t="s">
        <v>1833</v>
      </c>
      <c r="F876" s="43" t="s">
        <v>1834</v>
      </c>
      <c r="G876" s="14">
        <v>0</v>
      </c>
      <c r="H876" s="2"/>
      <c r="I876" s="19"/>
      <c r="J876" s="14">
        <v>0</v>
      </c>
      <c r="K876" s="2"/>
      <c r="L876" s="19"/>
      <c r="M876" s="14">
        <v>0</v>
      </c>
      <c r="N876" s="2"/>
      <c r="O876" s="14">
        <v>0</v>
      </c>
      <c r="P876" s="55"/>
      <c r="Q876" s="14">
        <v>0</v>
      </c>
      <c r="R876" s="2"/>
      <c r="S876" s="44">
        <f>[1]!DDIFF(0,0)</f>
        <v>0</v>
      </c>
      <c r="T876" s="2"/>
      <c r="U876" s="1"/>
      <c r="V876" s="62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</row>
    <row r="877" spans="1:67" hidden="1" x14ac:dyDescent="0.25">
      <c r="A877" t="s">
        <v>1835</v>
      </c>
      <c r="E877" s="42" t="s">
        <v>1836</v>
      </c>
      <c r="F877" s="43" t="s">
        <v>1837</v>
      </c>
      <c r="G877" s="14">
        <v>0</v>
      </c>
      <c r="H877" s="2"/>
      <c r="I877" s="19"/>
      <c r="J877" s="14">
        <v>0</v>
      </c>
      <c r="K877" s="2"/>
      <c r="L877" s="19"/>
      <c r="M877" s="14">
        <v>0</v>
      </c>
      <c r="N877" s="2"/>
      <c r="O877" s="14">
        <v>0</v>
      </c>
      <c r="P877" s="55"/>
      <c r="Q877" s="14">
        <v>0</v>
      </c>
      <c r="R877" s="2"/>
      <c r="S877" s="44">
        <f>[1]!DDIFF(0,0)</f>
        <v>0</v>
      </c>
      <c r="T877" s="2"/>
      <c r="U877" s="1"/>
      <c r="V877" s="62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</row>
    <row r="878" spans="1:67" hidden="1" x14ac:dyDescent="0.25">
      <c r="A878" t="s">
        <v>1838</v>
      </c>
      <c r="E878" s="42" t="s">
        <v>1839</v>
      </c>
      <c r="F878" s="43" t="s">
        <v>1784</v>
      </c>
      <c r="G878" s="14">
        <v>0</v>
      </c>
      <c r="H878" s="2"/>
      <c r="I878" s="19"/>
      <c r="J878" s="14">
        <v>0</v>
      </c>
      <c r="K878" s="2"/>
      <c r="L878" s="19"/>
      <c r="M878" s="14">
        <v>0</v>
      </c>
      <c r="N878" s="2"/>
      <c r="O878" s="14">
        <v>0</v>
      </c>
      <c r="P878" s="55"/>
      <c r="Q878" s="14">
        <v>0</v>
      </c>
      <c r="R878" s="2"/>
      <c r="S878" s="44">
        <f>[1]!DDIFF(0,0)</f>
        <v>0</v>
      </c>
      <c r="T878" s="2"/>
      <c r="U878" s="1"/>
      <c r="V878" s="62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</row>
    <row r="879" spans="1:67" hidden="1" x14ac:dyDescent="0.25">
      <c r="A879" t="s">
        <v>1840</v>
      </c>
      <c r="E879" s="42" t="s">
        <v>1841</v>
      </c>
      <c r="F879" s="43" t="s">
        <v>1787</v>
      </c>
      <c r="G879" s="14">
        <v>0</v>
      </c>
      <c r="H879" s="2"/>
      <c r="I879" s="19"/>
      <c r="J879" s="14">
        <v>0</v>
      </c>
      <c r="K879" s="2"/>
      <c r="L879" s="19"/>
      <c r="M879" s="14">
        <v>0</v>
      </c>
      <c r="N879" s="2"/>
      <c r="O879" s="14">
        <v>0</v>
      </c>
      <c r="P879" s="55"/>
      <c r="Q879" s="14">
        <v>0</v>
      </c>
      <c r="R879" s="2"/>
      <c r="S879" s="44">
        <f>[1]!DDIFF(0,0)</f>
        <v>0</v>
      </c>
      <c r="T879" s="2"/>
      <c r="U879" s="1"/>
      <c r="V879" s="62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</row>
    <row r="880" spans="1:67" hidden="1" x14ac:dyDescent="0.25">
      <c r="A880" t="s">
        <v>1842</v>
      </c>
      <c r="E880" s="42" t="s">
        <v>1843</v>
      </c>
      <c r="F880" s="43" t="s">
        <v>1790</v>
      </c>
      <c r="G880" s="14">
        <v>0</v>
      </c>
      <c r="H880" s="2"/>
      <c r="I880" s="19"/>
      <c r="J880" s="14">
        <v>0</v>
      </c>
      <c r="K880" s="2"/>
      <c r="L880" s="19"/>
      <c r="M880" s="14">
        <v>0</v>
      </c>
      <c r="N880" s="2"/>
      <c r="O880" s="14">
        <v>0</v>
      </c>
      <c r="P880" s="55"/>
      <c r="Q880" s="14">
        <v>0</v>
      </c>
      <c r="R880" s="2"/>
      <c r="S880" s="44">
        <f>[1]!DDIFF(0,0)</f>
        <v>0</v>
      </c>
      <c r="T880" s="2"/>
      <c r="U880" s="1"/>
      <c r="V880" s="62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</row>
    <row r="881" spans="1:67" hidden="1" x14ac:dyDescent="0.25">
      <c r="A881" t="s">
        <v>1844</v>
      </c>
      <c r="E881" s="42" t="s">
        <v>1845</v>
      </c>
      <c r="F881" s="43" t="s">
        <v>1793</v>
      </c>
      <c r="G881" s="14">
        <v>0</v>
      </c>
      <c r="H881" s="2"/>
      <c r="I881" s="19"/>
      <c r="J881" s="14">
        <v>0</v>
      </c>
      <c r="K881" s="2"/>
      <c r="L881" s="19"/>
      <c r="M881" s="14">
        <v>0</v>
      </c>
      <c r="N881" s="2"/>
      <c r="O881" s="14">
        <v>0</v>
      </c>
      <c r="P881" s="55"/>
      <c r="Q881" s="14">
        <v>0</v>
      </c>
      <c r="R881" s="2"/>
      <c r="S881" s="44">
        <f>[1]!DDIFF(0,0)</f>
        <v>0</v>
      </c>
      <c r="T881" s="2"/>
      <c r="U881" s="1"/>
      <c r="V881" s="62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</row>
    <row r="882" spans="1:67" hidden="1" x14ac:dyDescent="0.25">
      <c r="A882" t="s">
        <v>1846</v>
      </c>
      <c r="E882" s="42" t="s">
        <v>1847</v>
      </c>
      <c r="F882" s="43" t="s">
        <v>1796</v>
      </c>
      <c r="G882" s="14">
        <v>0</v>
      </c>
      <c r="H882" s="2"/>
      <c r="I882" s="19"/>
      <c r="J882" s="14">
        <v>0</v>
      </c>
      <c r="K882" s="2"/>
      <c r="L882" s="19"/>
      <c r="M882" s="14">
        <v>0</v>
      </c>
      <c r="N882" s="2"/>
      <c r="O882" s="14">
        <v>0</v>
      </c>
      <c r="P882" s="55"/>
      <c r="Q882" s="14">
        <v>0</v>
      </c>
      <c r="R882" s="2"/>
      <c r="S882" s="44">
        <f>[1]!DDIFF(0,0)</f>
        <v>0</v>
      </c>
      <c r="T882" s="2"/>
      <c r="U882" s="1"/>
      <c r="V882" s="62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</row>
    <row r="883" spans="1:67" hidden="1" x14ac:dyDescent="0.25">
      <c r="A883" t="s">
        <v>1848</v>
      </c>
      <c r="E883" s="42" t="s">
        <v>1849</v>
      </c>
      <c r="F883" s="43" t="s">
        <v>1850</v>
      </c>
      <c r="G883" s="14">
        <v>0</v>
      </c>
      <c r="H883" s="2"/>
      <c r="I883" s="19"/>
      <c r="J883" s="14">
        <v>0</v>
      </c>
      <c r="K883" s="2"/>
      <c r="L883" s="19"/>
      <c r="M883" s="14">
        <v>0</v>
      </c>
      <c r="N883" s="2"/>
      <c r="O883" s="14">
        <v>0</v>
      </c>
      <c r="P883" s="55"/>
      <c r="Q883" s="14">
        <v>0</v>
      </c>
      <c r="R883" s="2"/>
      <c r="S883" s="44">
        <f>[1]!DDIFF(0,0)</f>
        <v>0</v>
      </c>
      <c r="T883" s="2"/>
      <c r="U883" s="1"/>
      <c r="V883" s="62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</row>
    <row r="884" spans="1:67" hidden="1" x14ac:dyDescent="0.25">
      <c r="A884" t="s">
        <v>1851</v>
      </c>
      <c r="E884" s="42" t="s">
        <v>1852</v>
      </c>
      <c r="F884" s="43" t="s">
        <v>1802</v>
      </c>
      <c r="G884" s="14">
        <v>0</v>
      </c>
      <c r="H884" s="2"/>
      <c r="I884" s="19"/>
      <c r="J884" s="14">
        <v>0</v>
      </c>
      <c r="K884" s="2"/>
      <c r="L884" s="19"/>
      <c r="M884" s="14">
        <v>0</v>
      </c>
      <c r="N884" s="2"/>
      <c r="O884" s="14">
        <v>0</v>
      </c>
      <c r="P884" s="55"/>
      <c r="Q884" s="14">
        <v>0</v>
      </c>
      <c r="R884" s="2"/>
      <c r="S884" s="44">
        <f>[1]!DDIFF(0,0)</f>
        <v>0</v>
      </c>
      <c r="T884" s="2"/>
      <c r="U884" s="1"/>
      <c r="V884" s="62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</row>
    <row r="885" spans="1:67" hidden="1" x14ac:dyDescent="0.25">
      <c r="A885" t="s">
        <v>1855</v>
      </c>
      <c r="E885" s="42" t="s">
        <v>1856</v>
      </c>
      <c r="F885" s="43" t="s">
        <v>1808</v>
      </c>
      <c r="G885" s="14">
        <v>0</v>
      </c>
      <c r="H885" s="2"/>
      <c r="I885" s="19"/>
      <c r="J885" s="14">
        <v>0</v>
      </c>
      <c r="K885" s="2"/>
      <c r="L885" s="19"/>
      <c r="M885" s="14">
        <v>0</v>
      </c>
      <c r="N885" s="2"/>
      <c r="O885" s="14">
        <v>0</v>
      </c>
      <c r="P885" s="55"/>
      <c r="Q885" s="14">
        <v>0</v>
      </c>
      <c r="R885" s="2"/>
      <c r="S885" s="44">
        <f>[1]!DDIFF(0,0)</f>
        <v>0</v>
      </c>
      <c r="T885" s="2"/>
      <c r="U885" s="1"/>
      <c r="V885" s="62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</row>
    <row r="886" spans="1:67" hidden="1" x14ac:dyDescent="0.25">
      <c r="A886" t="s">
        <v>1857</v>
      </c>
      <c r="E886" s="42" t="s">
        <v>1858</v>
      </c>
      <c r="F886" s="43" t="s">
        <v>1859</v>
      </c>
      <c r="G886" s="14">
        <v>0</v>
      </c>
      <c r="H886" s="2"/>
      <c r="I886" s="19"/>
      <c r="J886" s="14">
        <v>0</v>
      </c>
      <c r="K886" s="2"/>
      <c r="L886" s="19"/>
      <c r="M886" s="14">
        <v>0</v>
      </c>
      <c r="N886" s="2"/>
      <c r="O886" s="14">
        <v>0</v>
      </c>
      <c r="P886" s="55"/>
      <c r="Q886" s="14">
        <v>0</v>
      </c>
      <c r="R886" s="2"/>
      <c r="S886" s="44">
        <f>[1]!DDIFF(0,0)</f>
        <v>0</v>
      </c>
      <c r="T886" s="2"/>
      <c r="U886" s="1"/>
      <c r="V886" s="62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</row>
    <row r="887" spans="1:67" hidden="1" x14ac:dyDescent="0.25">
      <c r="A887" t="s">
        <v>1860</v>
      </c>
      <c r="E887" s="42" t="s">
        <v>1861</v>
      </c>
      <c r="F887" s="43" t="s">
        <v>1862</v>
      </c>
      <c r="G887" s="14">
        <v>0</v>
      </c>
      <c r="H887" s="2"/>
      <c r="I887" s="19"/>
      <c r="J887" s="14">
        <v>0</v>
      </c>
      <c r="K887" s="2"/>
      <c r="L887" s="19"/>
      <c r="M887" s="14">
        <v>0</v>
      </c>
      <c r="N887" s="2"/>
      <c r="O887" s="14">
        <v>0</v>
      </c>
      <c r="P887" s="55"/>
      <c r="Q887" s="14">
        <v>0</v>
      </c>
      <c r="R887" s="2"/>
      <c r="S887" s="44">
        <f>[1]!DDIFF(0,0)</f>
        <v>0</v>
      </c>
      <c r="T887" s="2"/>
      <c r="U887" s="1"/>
      <c r="V887" s="62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</row>
    <row r="888" spans="1:67" hidden="1" x14ac:dyDescent="0.25">
      <c r="A888" t="s">
        <v>1863</v>
      </c>
      <c r="E888" s="42" t="s">
        <v>1864</v>
      </c>
      <c r="F888" s="43" t="s">
        <v>1865</v>
      </c>
      <c r="G888" s="14">
        <v>0</v>
      </c>
      <c r="H888" s="2"/>
      <c r="I888" s="19"/>
      <c r="J888" s="14">
        <v>0</v>
      </c>
      <c r="K888" s="2"/>
      <c r="L888" s="19"/>
      <c r="M888" s="14">
        <v>0</v>
      </c>
      <c r="N888" s="2"/>
      <c r="O888" s="14">
        <v>0</v>
      </c>
      <c r="P888" s="55"/>
      <c r="Q888" s="14">
        <v>0</v>
      </c>
      <c r="R888" s="2"/>
      <c r="S888" s="44">
        <f>[1]!DDIFF(0,0)</f>
        <v>0</v>
      </c>
      <c r="T888" s="2"/>
      <c r="U888" s="1"/>
      <c r="V888" s="62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</row>
    <row r="889" spans="1:67" hidden="1" x14ac:dyDescent="0.25">
      <c r="A889" t="s">
        <v>1866</v>
      </c>
      <c r="E889" s="42" t="s">
        <v>1867</v>
      </c>
      <c r="F889" s="43" t="s">
        <v>1868</v>
      </c>
      <c r="G889" s="14">
        <v>0</v>
      </c>
      <c r="H889" s="2"/>
      <c r="I889" s="19"/>
      <c r="J889" s="14">
        <v>0</v>
      </c>
      <c r="K889" s="2"/>
      <c r="L889" s="19"/>
      <c r="M889" s="14">
        <v>0</v>
      </c>
      <c r="N889" s="2"/>
      <c r="O889" s="14">
        <v>0</v>
      </c>
      <c r="P889" s="55"/>
      <c r="Q889" s="14">
        <v>0</v>
      </c>
      <c r="R889" s="2"/>
      <c r="S889" s="44">
        <f>[1]!DDIFF(0,0)</f>
        <v>0</v>
      </c>
      <c r="T889" s="2"/>
      <c r="U889" s="1"/>
      <c r="V889" s="62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</row>
    <row r="890" spans="1:67" hidden="1" x14ac:dyDescent="0.25">
      <c r="A890" t="s">
        <v>1869</v>
      </c>
      <c r="E890" s="42" t="s">
        <v>1870</v>
      </c>
      <c r="F890" s="43" t="s">
        <v>1871</v>
      </c>
      <c r="G890" s="14">
        <v>0</v>
      </c>
      <c r="H890" s="2"/>
      <c r="I890" s="19"/>
      <c r="J890" s="14">
        <v>0</v>
      </c>
      <c r="K890" s="2"/>
      <c r="L890" s="19"/>
      <c r="M890" s="14">
        <v>0</v>
      </c>
      <c r="N890" s="2"/>
      <c r="O890" s="14">
        <v>0</v>
      </c>
      <c r="P890" s="55"/>
      <c r="Q890" s="14">
        <v>0</v>
      </c>
      <c r="R890" s="2"/>
      <c r="S890" s="44">
        <f>[1]!DDIFF(0,0)</f>
        <v>0</v>
      </c>
      <c r="T890" s="2"/>
      <c r="U890" s="1"/>
      <c r="V890" s="62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</row>
    <row r="891" spans="1:67" hidden="1" x14ac:dyDescent="0.25">
      <c r="A891" t="s">
        <v>1872</v>
      </c>
      <c r="E891" s="42" t="s">
        <v>1873</v>
      </c>
      <c r="F891" s="43" t="s">
        <v>1874</v>
      </c>
      <c r="G891" s="14">
        <v>0</v>
      </c>
      <c r="H891" s="2"/>
      <c r="I891" s="19"/>
      <c r="J891" s="14">
        <v>0</v>
      </c>
      <c r="K891" s="2"/>
      <c r="L891" s="19"/>
      <c r="M891" s="14">
        <v>0</v>
      </c>
      <c r="N891" s="2"/>
      <c r="O891" s="14">
        <v>0</v>
      </c>
      <c r="P891" s="55"/>
      <c r="Q891" s="14">
        <v>0</v>
      </c>
      <c r="R891" s="2"/>
      <c r="S891" s="44">
        <f>[1]!DDIFF(0,0)</f>
        <v>0</v>
      </c>
      <c r="T891" s="2"/>
      <c r="U891" s="1"/>
      <c r="V891" s="62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</row>
    <row r="892" spans="1:67" hidden="1" x14ac:dyDescent="0.25">
      <c r="A892" t="s">
        <v>1875</v>
      </c>
      <c r="E892" s="42" t="s">
        <v>1876</v>
      </c>
      <c r="F892" s="43" t="s">
        <v>1877</v>
      </c>
      <c r="G892" s="14">
        <v>0</v>
      </c>
      <c r="H892" s="2"/>
      <c r="I892" s="19"/>
      <c r="J892" s="14">
        <v>0</v>
      </c>
      <c r="K892" s="2"/>
      <c r="L892" s="19"/>
      <c r="M892" s="14">
        <v>0</v>
      </c>
      <c r="N892" s="2"/>
      <c r="O892" s="14">
        <v>0</v>
      </c>
      <c r="P892" s="55"/>
      <c r="Q892" s="14">
        <v>0</v>
      </c>
      <c r="R892" s="2"/>
      <c r="S892" s="44">
        <f>[1]!DDIFF(0,0)</f>
        <v>0</v>
      </c>
      <c r="T892" s="2"/>
      <c r="U892" s="1"/>
      <c r="V892" s="62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</row>
    <row r="893" spans="1:67" hidden="1" x14ac:dyDescent="0.25">
      <c r="A893" t="s">
        <v>1878</v>
      </c>
      <c r="E893" s="42" t="s">
        <v>1879</v>
      </c>
      <c r="F893" s="43" t="s">
        <v>1880</v>
      </c>
      <c r="G893" s="14">
        <v>0</v>
      </c>
      <c r="H893" s="2"/>
      <c r="I893" s="19"/>
      <c r="J893" s="14">
        <v>0</v>
      </c>
      <c r="K893" s="2"/>
      <c r="L893" s="19"/>
      <c r="M893" s="14">
        <v>0</v>
      </c>
      <c r="N893" s="2"/>
      <c r="O893" s="14">
        <v>0</v>
      </c>
      <c r="P893" s="55"/>
      <c r="Q893" s="14">
        <v>0</v>
      </c>
      <c r="R893" s="2"/>
      <c r="S893" s="44">
        <f>[1]!DDIFF(0,0)</f>
        <v>0</v>
      </c>
      <c r="T893" s="2"/>
      <c r="U893" s="1"/>
      <c r="V893" s="62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</row>
    <row r="894" spans="1:67" hidden="1" x14ac:dyDescent="0.25">
      <c r="A894" t="s">
        <v>1881</v>
      </c>
      <c r="E894" s="42" t="s">
        <v>1882</v>
      </c>
      <c r="F894" s="43" t="s">
        <v>1883</v>
      </c>
      <c r="G894" s="14">
        <v>0</v>
      </c>
      <c r="H894" s="2"/>
      <c r="I894" s="19"/>
      <c r="J894" s="14">
        <v>0</v>
      </c>
      <c r="K894" s="2"/>
      <c r="L894" s="19"/>
      <c r="M894" s="14">
        <v>0</v>
      </c>
      <c r="N894" s="2"/>
      <c r="O894" s="14">
        <v>0</v>
      </c>
      <c r="P894" s="55"/>
      <c r="Q894" s="14">
        <v>0</v>
      </c>
      <c r="R894" s="2"/>
      <c r="S894" s="44">
        <f>[1]!DDIFF(0,0)</f>
        <v>0</v>
      </c>
      <c r="T894" s="2"/>
      <c r="U894" s="1"/>
      <c r="V894" s="62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</row>
    <row r="895" spans="1:67" hidden="1" x14ac:dyDescent="0.25">
      <c r="A895" t="s">
        <v>1884</v>
      </c>
      <c r="E895" s="42" t="s">
        <v>1885</v>
      </c>
      <c r="F895" s="43" t="s">
        <v>1886</v>
      </c>
      <c r="G895" s="14">
        <v>0</v>
      </c>
      <c r="H895" s="2"/>
      <c r="I895" s="19"/>
      <c r="J895" s="14">
        <v>0</v>
      </c>
      <c r="K895" s="2"/>
      <c r="L895" s="19"/>
      <c r="M895" s="14">
        <v>0</v>
      </c>
      <c r="N895" s="2"/>
      <c r="O895" s="14">
        <v>0</v>
      </c>
      <c r="P895" s="55"/>
      <c r="Q895" s="14">
        <v>0</v>
      </c>
      <c r="R895" s="2"/>
      <c r="S895" s="44">
        <f>[1]!DDIFF(0,0)</f>
        <v>0</v>
      </c>
      <c r="T895" s="2"/>
      <c r="U895" s="1"/>
      <c r="V895" s="62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</row>
    <row r="896" spans="1:67" hidden="1" x14ac:dyDescent="0.25">
      <c r="A896" t="s">
        <v>1887</v>
      </c>
      <c r="E896" s="42" t="s">
        <v>1888</v>
      </c>
      <c r="F896" s="43" t="s">
        <v>1889</v>
      </c>
      <c r="G896" s="14">
        <v>0</v>
      </c>
      <c r="H896" s="2"/>
      <c r="I896" s="19"/>
      <c r="J896" s="14">
        <v>0</v>
      </c>
      <c r="K896" s="2"/>
      <c r="L896" s="19"/>
      <c r="M896" s="14">
        <v>0</v>
      </c>
      <c r="N896" s="2"/>
      <c r="O896" s="14">
        <v>0</v>
      </c>
      <c r="P896" s="55"/>
      <c r="Q896" s="14">
        <v>0</v>
      </c>
      <c r="R896" s="2"/>
      <c r="S896" s="44">
        <f>[1]!DDIFF(0,0)</f>
        <v>0</v>
      </c>
      <c r="T896" s="2"/>
      <c r="U896" s="1"/>
      <c r="V896" s="62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</row>
    <row r="897" spans="1:67" hidden="1" x14ac:dyDescent="0.25">
      <c r="A897" t="s">
        <v>1890</v>
      </c>
      <c r="E897" s="42" t="s">
        <v>1891</v>
      </c>
      <c r="F897" s="43" t="s">
        <v>1892</v>
      </c>
      <c r="G897" s="14">
        <v>0</v>
      </c>
      <c r="H897" s="2"/>
      <c r="I897" s="19"/>
      <c r="J897" s="14">
        <v>0</v>
      </c>
      <c r="K897" s="2"/>
      <c r="L897" s="19"/>
      <c r="M897" s="14">
        <v>0</v>
      </c>
      <c r="N897" s="2"/>
      <c r="O897" s="14">
        <v>0</v>
      </c>
      <c r="P897" s="55"/>
      <c r="Q897" s="14">
        <v>0</v>
      </c>
      <c r="R897" s="2"/>
      <c r="S897" s="44">
        <f>[1]!DDIFF(0,0)</f>
        <v>0</v>
      </c>
      <c r="T897" s="2"/>
      <c r="U897" s="1"/>
      <c r="V897" s="62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</row>
    <row r="898" spans="1:67" hidden="1" x14ac:dyDescent="0.25">
      <c r="A898" t="s">
        <v>1893</v>
      </c>
      <c r="E898" s="42" t="s">
        <v>1894</v>
      </c>
      <c r="F898" s="43" t="s">
        <v>1895</v>
      </c>
      <c r="G898" s="14">
        <v>0</v>
      </c>
      <c r="H898" s="2"/>
      <c r="I898" s="19"/>
      <c r="J898" s="14">
        <v>0</v>
      </c>
      <c r="K898" s="2"/>
      <c r="L898" s="19"/>
      <c r="M898" s="14">
        <v>0</v>
      </c>
      <c r="N898" s="2"/>
      <c r="O898" s="14">
        <v>0</v>
      </c>
      <c r="P898" s="55"/>
      <c r="Q898" s="14">
        <v>0</v>
      </c>
      <c r="R898" s="2"/>
      <c r="S898" s="44">
        <f>[1]!DDIFF(0,0)</f>
        <v>0</v>
      </c>
      <c r="T898" s="2"/>
      <c r="U898" s="1"/>
      <c r="V898" s="62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</row>
    <row r="899" spans="1:67" hidden="1" x14ac:dyDescent="0.25">
      <c r="A899" t="s">
        <v>1896</v>
      </c>
      <c r="E899" s="42" t="s">
        <v>1897</v>
      </c>
      <c r="F899" s="43" t="s">
        <v>1898</v>
      </c>
      <c r="G899" s="14">
        <v>0</v>
      </c>
      <c r="H899" s="2"/>
      <c r="I899" s="19"/>
      <c r="J899" s="14">
        <v>0</v>
      </c>
      <c r="K899" s="2"/>
      <c r="L899" s="19"/>
      <c r="M899" s="14">
        <v>0</v>
      </c>
      <c r="N899" s="2"/>
      <c r="O899" s="14">
        <v>0</v>
      </c>
      <c r="P899" s="55"/>
      <c r="Q899" s="14">
        <v>0</v>
      </c>
      <c r="R899" s="2"/>
      <c r="S899" s="44">
        <f>[1]!DDIFF(0,0)</f>
        <v>0</v>
      </c>
      <c r="T899" s="2"/>
      <c r="U899" s="1"/>
      <c r="V899" s="62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</row>
    <row r="900" spans="1:67" hidden="1" x14ac:dyDescent="0.25">
      <c r="A900" t="s">
        <v>1899</v>
      </c>
      <c r="E900" s="42" t="s">
        <v>1900</v>
      </c>
      <c r="F900" s="43" t="s">
        <v>1901</v>
      </c>
      <c r="G900" s="14">
        <v>0</v>
      </c>
      <c r="H900" s="2"/>
      <c r="I900" s="19"/>
      <c r="J900" s="14">
        <v>0</v>
      </c>
      <c r="K900" s="2"/>
      <c r="L900" s="19"/>
      <c r="M900" s="14">
        <v>0</v>
      </c>
      <c r="N900" s="2"/>
      <c r="O900" s="14">
        <v>0</v>
      </c>
      <c r="P900" s="55"/>
      <c r="Q900" s="14">
        <v>0</v>
      </c>
      <c r="R900" s="2"/>
      <c r="S900" s="44">
        <f>[1]!DDIFF(0,0)</f>
        <v>0</v>
      </c>
      <c r="T900" s="2"/>
      <c r="U900" s="1"/>
      <c r="V900" s="62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</row>
    <row r="901" spans="1:67" hidden="1" x14ac:dyDescent="0.25">
      <c r="A901" t="s">
        <v>1902</v>
      </c>
      <c r="E901" s="42" t="s">
        <v>1903</v>
      </c>
      <c r="F901" s="43" t="s">
        <v>1904</v>
      </c>
      <c r="G901" s="14">
        <v>0</v>
      </c>
      <c r="H901" s="2"/>
      <c r="I901" s="19"/>
      <c r="J901" s="14">
        <v>0</v>
      </c>
      <c r="K901" s="2"/>
      <c r="L901" s="19"/>
      <c r="M901" s="14">
        <v>0</v>
      </c>
      <c r="N901" s="2"/>
      <c r="O901" s="14">
        <v>0</v>
      </c>
      <c r="P901" s="55"/>
      <c r="Q901" s="14">
        <v>0</v>
      </c>
      <c r="R901" s="2"/>
      <c r="S901" s="44">
        <f>[1]!DDIFF(0,0)</f>
        <v>0</v>
      </c>
      <c r="T901" s="2"/>
      <c r="U901" s="1"/>
      <c r="V901" s="62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</row>
    <row r="902" spans="1:67" hidden="1" x14ac:dyDescent="0.25">
      <c r="A902" t="s">
        <v>1905</v>
      </c>
      <c r="E902" s="42" t="s">
        <v>1906</v>
      </c>
      <c r="F902" s="43" t="s">
        <v>1907</v>
      </c>
      <c r="G902" s="14">
        <v>0</v>
      </c>
      <c r="H902" s="2"/>
      <c r="I902" s="19"/>
      <c r="J902" s="14">
        <v>0</v>
      </c>
      <c r="K902" s="2"/>
      <c r="L902" s="19"/>
      <c r="M902" s="14">
        <v>0</v>
      </c>
      <c r="N902" s="2"/>
      <c r="O902" s="14">
        <v>0</v>
      </c>
      <c r="P902" s="55"/>
      <c r="Q902" s="14">
        <v>0</v>
      </c>
      <c r="R902" s="2"/>
      <c r="S902" s="44">
        <f>[1]!DDIFF(0,0)</f>
        <v>0</v>
      </c>
      <c r="T902" s="2"/>
      <c r="U902" s="1"/>
      <c r="V902" s="62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</row>
    <row r="903" spans="1:67" hidden="1" x14ac:dyDescent="0.25">
      <c r="A903" t="s">
        <v>1908</v>
      </c>
      <c r="E903" s="42" t="s">
        <v>1909</v>
      </c>
      <c r="F903" s="43" t="s">
        <v>1910</v>
      </c>
      <c r="G903" s="14">
        <v>0</v>
      </c>
      <c r="H903" s="2"/>
      <c r="I903" s="19"/>
      <c r="J903" s="14">
        <v>0</v>
      </c>
      <c r="K903" s="2"/>
      <c r="L903" s="19"/>
      <c r="M903" s="14">
        <v>0</v>
      </c>
      <c r="N903" s="2"/>
      <c r="O903" s="14">
        <v>0</v>
      </c>
      <c r="P903" s="55"/>
      <c r="Q903" s="14">
        <v>0</v>
      </c>
      <c r="R903" s="2"/>
      <c r="S903" s="44">
        <f>[1]!DDIFF(0,0)</f>
        <v>0</v>
      </c>
      <c r="T903" s="2"/>
      <c r="U903" s="1"/>
      <c r="V903" s="62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</row>
    <row r="904" spans="1:67" hidden="1" x14ac:dyDescent="0.25">
      <c r="A904" t="s">
        <v>1911</v>
      </c>
      <c r="E904" s="42" t="s">
        <v>1912</v>
      </c>
      <c r="F904" s="43" t="s">
        <v>1913</v>
      </c>
      <c r="G904" s="14">
        <v>0</v>
      </c>
      <c r="H904" s="2"/>
      <c r="I904" s="19"/>
      <c r="J904" s="14">
        <v>0</v>
      </c>
      <c r="K904" s="2"/>
      <c r="L904" s="19"/>
      <c r="M904" s="14">
        <v>0</v>
      </c>
      <c r="N904" s="2"/>
      <c r="O904" s="14">
        <v>0</v>
      </c>
      <c r="P904" s="55"/>
      <c r="Q904" s="14">
        <v>0</v>
      </c>
      <c r="R904" s="2"/>
      <c r="S904" s="44">
        <f>[1]!DDIFF(0,0)</f>
        <v>0</v>
      </c>
      <c r="T904" s="2"/>
      <c r="U904" s="1"/>
      <c r="V904" s="62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</row>
    <row r="905" spans="1:67" hidden="1" x14ac:dyDescent="0.25">
      <c r="A905" t="s">
        <v>1914</v>
      </c>
      <c r="E905" s="42" t="s">
        <v>1915</v>
      </c>
      <c r="F905" s="43" t="s">
        <v>1916</v>
      </c>
      <c r="G905" s="14">
        <v>0</v>
      </c>
      <c r="H905" s="2"/>
      <c r="I905" s="19"/>
      <c r="J905" s="14">
        <v>0</v>
      </c>
      <c r="K905" s="2"/>
      <c r="L905" s="19"/>
      <c r="M905" s="14">
        <v>0</v>
      </c>
      <c r="N905" s="2"/>
      <c r="O905" s="14">
        <v>0</v>
      </c>
      <c r="P905" s="55"/>
      <c r="Q905" s="14">
        <v>0</v>
      </c>
      <c r="R905" s="2"/>
      <c r="S905" s="44">
        <f>[1]!DDIFF(0,0)</f>
        <v>0</v>
      </c>
      <c r="T905" s="2"/>
      <c r="U905" s="1"/>
      <c r="V905" s="62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</row>
    <row r="906" spans="1:67" hidden="1" x14ac:dyDescent="0.25">
      <c r="A906" t="s">
        <v>1917</v>
      </c>
      <c r="E906" s="42" t="s">
        <v>1918</v>
      </c>
      <c r="F906" s="43" t="s">
        <v>1919</v>
      </c>
      <c r="G906" s="14">
        <v>0</v>
      </c>
      <c r="H906" s="2"/>
      <c r="I906" s="19"/>
      <c r="J906" s="14">
        <v>0</v>
      </c>
      <c r="K906" s="2"/>
      <c r="L906" s="19"/>
      <c r="M906" s="14">
        <v>0</v>
      </c>
      <c r="N906" s="2"/>
      <c r="O906" s="14">
        <v>0</v>
      </c>
      <c r="P906" s="55"/>
      <c r="Q906" s="14">
        <v>0</v>
      </c>
      <c r="R906" s="2"/>
      <c r="S906" s="44">
        <f>[1]!DDIFF(0,0)</f>
        <v>0</v>
      </c>
      <c r="T906" s="2"/>
      <c r="U906" s="1"/>
      <c r="V906" s="62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</row>
    <row r="907" spans="1:67" hidden="1" x14ac:dyDescent="0.25">
      <c r="A907" t="s">
        <v>1920</v>
      </c>
      <c r="E907" s="42" t="s">
        <v>1921</v>
      </c>
      <c r="F907" s="43" t="s">
        <v>1922</v>
      </c>
      <c r="G907" s="14">
        <v>0</v>
      </c>
      <c r="H907" s="2"/>
      <c r="I907" s="19"/>
      <c r="J907" s="14">
        <v>0</v>
      </c>
      <c r="K907" s="2"/>
      <c r="L907" s="19"/>
      <c r="M907" s="14">
        <v>0</v>
      </c>
      <c r="N907" s="2"/>
      <c r="O907" s="14">
        <v>0</v>
      </c>
      <c r="P907" s="55"/>
      <c r="Q907" s="14">
        <v>0</v>
      </c>
      <c r="R907" s="2"/>
      <c r="S907" s="44">
        <f>[1]!DDIFF(0,0)</f>
        <v>0</v>
      </c>
      <c r="T907" s="2"/>
      <c r="U907" s="1"/>
      <c r="V907" s="62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</row>
    <row r="908" spans="1:67" hidden="1" x14ac:dyDescent="0.25">
      <c r="A908" t="s">
        <v>1923</v>
      </c>
      <c r="E908" s="42" t="s">
        <v>1924</v>
      </c>
      <c r="F908" s="43" t="s">
        <v>1925</v>
      </c>
      <c r="G908" s="14">
        <v>0</v>
      </c>
      <c r="H908" s="2"/>
      <c r="I908" s="19"/>
      <c r="J908" s="14">
        <v>0</v>
      </c>
      <c r="K908" s="2"/>
      <c r="L908" s="19"/>
      <c r="M908" s="14">
        <v>0</v>
      </c>
      <c r="N908" s="2"/>
      <c r="O908" s="14">
        <v>0</v>
      </c>
      <c r="P908" s="55"/>
      <c r="Q908" s="14">
        <v>0</v>
      </c>
      <c r="R908" s="2"/>
      <c r="S908" s="44">
        <f>[1]!DDIFF(0,0)</f>
        <v>0</v>
      </c>
      <c r="T908" s="2"/>
      <c r="U908" s="1"/>
      <c r="V908" s="62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</row>
    <row r="909" spans="1:67" hidden="1" x14ac:dyDescent="0.25">
      <c r="A909" t="s">
        <v>1926</v>
      </c>
      <c r="E909" s="42" t="s">
        <v>1927</v>
      </c>
      <c r="F909" s="43" t="s">
        <v>1928</v>
      </c>
      <c r="G909" s="14">
        <v>0</v>
      </c>
      <c r="H909" s="2"/>
      <c r="I909" s="19"/>
      <c r="J909" s="14">
        <v>0</v>
      </c>
      <c r="K909" s="2"/>
      <c r="L909" s="19"/>
      <c r="M909" s="14">
        <v>0</v>
      </c>
      <c r="N909" s="2"/>
      <c r="O909" s="14">
        <v>0</v>
      </c>
      <c r="P909" s="55"/>
      <c r="Q909" s="14">
        <v>0</v>
      </c>
      <c r="R909" s="2"/>
      <c r="S909" s="44">
        <f>[1]!DDIFF(0,0)</f>
        <v>0</v>
      </c>
      <c r="T909" s="2"/>
      <c r="U909" s="1"/>
      <c r="V909" s="62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</row>
    <row r="910" spans="1:67" hidden="1" x14ac:dyDescent="0.25">
      <c r="A910" t="s">
        <v>1929</v>
      </c>
      <c r="E910" s="42" t="s">
        <v>1930</v>
      </c>
      <c r="F910" s="43" t="s">
        <v>1931</v>
      </c>
      <c r="G910" s="14">
        <v>0</v>
      </c>
      <c r="H910" s="2"/>
      <c r="I910" s="19"/>
      <c r="J910" s="14">
        <v>0</v>
      </c>
      <c r="K910" s="2"/>
      <c r="L910" s="19"/>
      <c r="M910" s="14">
        <v>0</v>
      </c>
      <c r="N910" s="2"/>
      <c r="O910" s="14">
        <v>0</v>
      </c>
      <c r="P910" s="55"/>
      <c r="Q910" s="14">
        <v>0</v>
      </c>
      <c r="R910" s="2"/>
      <c r="S910" s="44">
        <f>[1]!DDIFF(0,0)</f>
        <v>0</v>
      </c>
      <c r="T910" s="2"/>
      <c r="U910" s="1"/>
      <c r="V910" s="62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</row>
    <row r="911" spans="1:67" hidden="1" x14ac:dyDescent="0.25">
      <c r="A911" t="s">
        <v>1932</v>
      </c>
      <c r="E911" s="42" t="s">
        <v>1933</v>
      </c>
      <c r="F911" s="43" t="s">
        <v>1934</v>
      </c>
      <c r="G911" s="14">
        <v>0</v>
      </c>
      <c r="H911" s="2"/>
      <c r="I911" s="19"/>
      <c r="J911" s="14">
        <v>0</v>
      </c>
      <c r="K911" s="2"/>
      <c r="L911" s="19"/>
      <c r="M911" s="14">
        <v>0</v>
      </c>
      <c r="N911" s="2"/>
      <c r="O911" s="14">
        <v>0</v>
      </c>
      <c r="P911" s="55"/>
      <c r="Q911" s="14">
        <v>0</v>
      </c>
      <c r="R911" s="2"/>
      <c r="S911" s="44">
        <f>[1]!DDIFF(0,0)</f>
        <v>0</v>
      </c>
      <c r="T911" s="2"/>
      <c r="U911" s="1"/>
      <c r="V911" s="62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</row>
    <row r="912" spans="1:67" hidden="1" x14ac:dyDescent="0.25">
      <c r="A912" t="s">
        <v>1935</v>
      </c>
      <c r="E912" s="42" t="s">
        <v>1936</v>
      </c>
      <c r="F912" s="43" t="s">
        <v>1937</v>
      </c>
      <c r="G912" s="14">
        <v>0</v>
      </c>
      <c r="H912" s="2"/>
      <c r="I912" s="19"/>
      <c r="J912" s="14">
        <v>0</v>
      </c>
      <c r="K912" s="2"/>
      <c r="L912" s="19"/>
      <c r="M912" s="14">
        <v>0</v>
      </c>
      <c r="N912" s="2"/>
      <c r="O912" s="14">
        <v>0</v>
      </c>
      <c r="P912" s="55"/>
      <c r="Q912" s="14">
        <v>0</v>
      </c>
      <c r="R912" s="2"/>
      <c r="S912" s="44">
        <f>[1]!DDIFF(0,0)</f>
        <v>0</v>
      </c>
      <c r="T912" s="2"/>
      <c r="U912" s="1"/>
      <c r="V912" s="62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</row>
    <row r="913" spans="1:67" hidden="1" x14ac:dyDescent="0.25">
      <c r="A913" t="s">
        <v>1938</v>
      </c>
      <c r="E913" s="42" t="s">
        <v>1939</v>
      </c>
      <c r="F913" s="43" t="s">
        <v>1940</v>
      </c>
      <c r="G913" s="14">
        <v>0</v>
      </c>
      <c r="H913" s="2"/>
      <c r="I913" s="19"/>
      <c r="J913" s="14">
        <v>0</v>
      </c>
      <c r="K913" s="2"/>
      <c r="L913" s="19"/>
      <c r="M913" s="14">
        <v>0</v>
      </c>
      <c r="N913" s="2"/>
      <c r="O913" s="14">
        <v>0</v>
      </c>
      <c r="P913" s="55"/>
      <c r="Q913" s="14">
        <v>0</v>
      </c>
      <c r="R913" s="2"/>
      <c r="S913" s="44">
        <f>[1]!DDIFF(0,0)</f>
        <v>0</v>
      </c>
      <c r="T913" s="2"/>
      <c r="U913" s="1"/>
      <c r="V913" s="62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</row>
    <row r="914" spans="1:67" hidden="1" x14ac:dyDescent="0.25">
      <c r="A914" t="s">
        <v>1941</v>
      </c>
      <c r="E914" s="42" t="s">
        <v>1942</v>
      </c>
      <c r="F914" s="43" t="s">
        <v>1943</v>
      </c>
      <c r="G914" s="14">
        <v>0</v>
      </c>
      <c r="H914" s="2"/>
      <c r="I914" s="19"/>
      <c r="J914" s="14">
        <v>0</v>
      </c>
      <c r="K914" s="2"/>
      <c r="L914" s="19"/>
      <c r="M914" s="14">
        <v>0</v>
      </c>
      <c r="N914" s="2"/>
      <c r="O914" s="14">
        <v>0</v>
      </c>
      <c r="P914" s="55"/>
      <c r="Q914" s="14">
        <v>0</v>
      </c>
      <c r="R914" s="2"/>
      <c r="S914" s="44">
        <f>[1]!DDIFF(0,0)</f>
        <v>0</v>
      </c>
      <c r="T914" s="2"/>
      <c r="U914" s="1"/>
      <c r="V914" s="62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</row>
    <row r="915" spans="1:67" hidden="1" x14ac:dyDescent="0.25">
      <c r="A915" t="s">
        <v>1944</v>
      </c>
      <c r="E915" s="42" t="s">
        <v>1945</v>
      </c>
      <c r="F915" s="43" t="s">
        <v>1946</v>
      </c>
      <c r="G915" s="14">
        <v>0</v>
      </c>
      <c r="H915" s="2"/>
      <c r="I915" s="19"/>
      <c r="J915" s="14">
        <v>0</v>
      </c>
      <c r="K915" s="2"/>
      <c r="L915" s="19"/>
      <c r="M915" s="14">
        <v>0</v>
      </c>
      <c r="N915" s="2"/>
      <c r="O915" s="14">
        <v>0</v>
      </c>
      <c r="P915" s="55"/>
      <c r="Q915" s="14">
        <v>0</v>
      </c>
      <c r="R915" s="2"/>
      <c r="S915" s="44">
        <f>[1]!DDIFF(0,0)</f>
        <v>0</v>
      </c>
      <c r="T915" s="2"/>
      <c r="U915" s="1"/>
      <c r="V915" s="62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</row>
    <row r="916" spans="1:67" hidden="1" x14ac:dyDescent="0.25">
      <c r="A916" t="s">
        <v>1947</v>
      </c>
      <c r="E916" s="42" t="s">
        <v>1948</v>
      </c>
      <c r="F916" s="43" t="s">
        <v>1949</v>
      </c>
      <c r="G916" s="14">
        <v>0</v>
      </c>
      <c r="H916" s="2"/>
      <c r="I916" s="19"/>
      <c r="J916" s="14">
        <v>0</v>
      </c>
      <c r="K916" s="2"/>
      <c r="L916" s="19"/>
      <c r="M916" s="14">
        <v>0</v>
      </c>
      <c r="N916" s="2"/>
      <c r="O916" s="14">
        <v>0</v>
      </c>
      <c r="P916" s="55"/>
      <c r="Q916" s="14">
        <v>0</v>
      </c>
      <c r="R916" s="2"/>
      <c r="S916" s="44">
        <f>[1]!DDIFF(0,0)</f>
        <v>0</v>
      </c>
      <c r="T916" s="2"/>
      <c r="U916" s="1"/>
      <c r="V916" s="62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</row>
    <row r="917" spans="1:67" hidden="1" x14ac:dyDescent="0.25">
      <c r="A917" t="s">
        <v>1950</v>
      </c>
      <c r="E917" s="42" t="s">
        <v>1951</v>
      </c>
      <c r="F917" s="43" t="s">
        <v>1952</v>
      </c>
      <c r="G917" s="14">
        <v>0</v>
      </c>
      <c r="H917" s="2"/>
      <c r="I917" s="19"/>
      <c r="J917" s="14">
        <v>0</v>
      </c>
      <c r="K917" s="2"/>
      <c r="L917" s="19"/>
      <c r="M917" s="14">
        <v>0</v>
      </c>
      <c r="N917" s="2"/>
      <c r="O917" s="14">
        <v>0</v>
      </c>
      <c r="P917" s="55"/>
      <c r="Q917" s="14">
        <v>0</v>
      </c>
      <c r="R917" s="2"/>
      <c r="S917" s="44">
        <f>[1]!DDIFF(0,0)</f>
        <v>0</v>
      </c>
      <c r="T917" s="2"/>
      <c r="U917" s="1"/>
      <c r="V917" s="62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</row>
    <row r="918" spans="1:67" hidden="1" x14ac:dyDescent="0.25">
      <c r="A918" t="s">
        <v>1953</v>
      </c>
      <c r="E918" s="42" t="s">
        <v>1954</v>
      </c>
      <c r="F918" s="43" t="s">
        <v>1955</v>
      </c>
      <c r="G918" s="14">
        <v>0</v>
      </c>
      <c r="H918" s="2"/>
      <c r="I918" s="19"/>
      <c r="J918" s="14">
        <v>0</v>
      </c>
      <c r="K918" s="2"/>
      <c r="L918" s="19"/>
      <c r="M918" s="14">
        <v>0</v>
      </c>
      <c r="N918" s="2"/>
      <c r="O918" s="14">
        <v>0</v>
      </c>
      <c r="P918" s="55"/>
      <c r="Q918" s="14">
        <v>0</v>
      </c>
      <c r="R918" s="2"/>
      <c r="S918" s="44">
        <f>[1]!DDIFF(0,0)</f>
        <v>0</v>
      </c>
      <c r="T918" s="2"/>
      <c r="U918" s="1"/>
      <c r="V918" s="62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</row>
    <row r="919" spans="1:67" hidden="1" x14ac:dyDescent="0.25">
      <c r="A919" t="s">
        <v>1956</v>
      </c>
      <c r="E919" s="42" t="s">
        <v>1957</v>
      </c>
      <c r="F919" s="43" t="s">
        <v>1958</v>
      </c>
      <c r="G919" s="14">
        <v>0</v>
      </c>
      <c r="H919" s="2"/>
      <c r="I919" s="19"/>
      <c r="J919" s="14">
        <v>0</v>
      </c>
      <c r="K919" s="2"/>
      <c r="L919" s="19"/>
      <c r="M919" s="14">
        <v>0</v>
      </c>
      <c r="N919" s="2"/>
      <c r="O919" s="14">
        <v>0</v>
      </c>
      <c r="P919" s="55"/>
      <c r="Q919" s="14">
        <v>0</v>
      </c>
      <c r="R919" s="2"/>
      <c r="S919" s="44">
        <f>[1]!DDIFF(0,0)</f>
        <v>0</v>
      </c>
      <c r="T919" s="2"/>
      <c r="U919" s="1"/>
      <c r="V919" s="62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</row>
    <row r="920" spans="1:67" hidden="1" x14ac:dyDescent="0.25">
      <c r="A920" t="s">
        <v>1959</v>
      </c>
      <c r="E920" s="42" t="s">
        <v>1960</v>
      </c>
      <c r="F920" s="43" t="s">
        <v>1961</v>
      </c>
      <c r="G920" s="14">
        <v>0</v>
      </c>
      <c r="H920" s="2"/>
      <c r="I920" s="19"/>
      <c r="J920" s="14">
        <v>0</v>
      </c>
      <c r="K920" s="2"/>
      <c r="L920" s="19"/>
      <c r="M920" s="14">
        <v>0</v>
      </c>
      <c r="N920" s="2"/>
      <c r="O920" s="14">
        <v>0</v>
      </c>
      <c r="P920" s="55"/>
      <c r="Q920" s="14">
        <v>0</v>
      </c>
      <c r="R920" s="2"/>
      <c r="S920" s="44">
        <f>[1]!DDIFF(0,0)</f>
        <v>0</v>
      </c>
      <c r="T920" s="2"/>
      <c r="U920" s="1"/>
      <c r="V920" s="62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</row>
    <row r="921" spans="1:67" hidden="1" x14ac:dyDescent="0.25">
      <c r="A921" t="s">
        <v>1962</v>
      </c>
      <c r="E921" s="42" t="s">
        <v>1963</v>
      </c>
      <c r="F921" s="43" t="s">
        <v>1964</v>
      </c>
      <c r="G921" s="14">
        <v>0</v>
      </c>
      <c r="H921" s="2"/>
      <c r="I921" s="19"/>
      <c r="J921" s="14">
        <v>0</v>
      </c>
      <c r="K921" s="2"/>
      <c r="L921" s="19"/>
      <c r="M921" s="14">
        <v>0</v>
      </c>
      <c r="N921" s="2"/>
      <c r="O921" s="14">
        <v>0</v>
      </c>
      <c r="P921" s="55"/>
      <c r="Q921" s="14">
        <v>0</v>
      </c>
      <c r="R921" s="2"/>
      <c r="S921" s="44">
        <f>[1]!DDIFF(0,0)</f>
        <v>0</v>
      </c>
      <c r="T921" s="2"/>
      <c r="U921" s="1"/>
      <c r="V921" s="62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</row>
    <row r="922" spans="1:67" hidden="1" x14ac:dyDescent="0.25">
      <c r="A922" t="s">
        <v>1965</v>
      </c>
      <c r="E922" s="42" t="s">
        <v>1966</v>
      </c>
      <c r="F922" s="43" t="s">
        <v>1967</v>
      </c>
      <c r="G922" s="14">
        <v>0</v>
      </c>
      <c r="H922" s="2"/>
      <c r="I922" s="19"/>
      <c r="J922" s="14">
        <v>0</v>
      </c>
      <c r="K922" s="2"/>
      <c r="L922" s="19"/>
      <c r="M922" s="14">
        <v>0</v>
      </c>
      <c r="N922" s="2"/>
      <c r="O922" s="14">
        <v>0</v>
      </c>
      <c r="P922" s="55"/>
      <c r="Q922" s="14">
        <v>0</v>
      </c>
      <c r="R922" s="2"/>
      <c r="S922" s="44">
        <f>[1]!DDIFF(0,0)</f>
        <v>0</v>
      </c>
      <c r="T922" s="2"/>
      <c r="U922" s="1"/>
      <c r="V922" s="62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</row>
    <row r="923" spans="1:67" hidden="1" x14ac:dyDescent="0.25">
      <c r="A923" t="s">
        <v>1968</v>
      </c>
      <c r="E923" s="42" t="s">
        <v>1969</v>
      </c>
      <c r="F923" s="43" t="s">
        <v>1970</v>
      </c>
      <c r="G923" s="14">
        <v>0</v>
      </c>
      <c r="H923" s="2"/>
      <c r="I923" s="19"/>
      <c r="J923" s="14">
        <v>0</v>
      </c>
      <c r="K923" s="2"/>
      <c r="L923" s="19"/>
      <c r="M923" s="14">
        <v>0</v>
      </c>
      <c r="N923" s="2"/>
      <c r="O923" s="14">
        <v>0</v>
      </c>
      <c r="P923" s="55"/>
      <c r="Q923" s="14">
        <v>0</v>
      </c>
      <c r="R923" s="2"/>
      <c r="S923" s="44">
        <f>[1]!DDIFF(0,0)</f>
        <v>0</v>
      </c>
      <c r="T923" s="2"/>
      <c r="U923" s="1"/>
      <c r="V923" s="62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</row>
    <row r="924" spans="1:67" hidden="1" x14ac:dyDescent="0.25">
      <c r="A924" t="s">
        <v>1971</v>
      </c>
      <c r="E924" s="42" t="s">
        <v>1972</v>
      </c>
      <c r="F924" s="43" t="s">
        <v>1459</v>
      </c>
      <c r="G924" s="14">
        <v>0</v>
      </c>
      <c r="H924" s="2"/>
      <c r="I924" s="19"/>
      <c r="J924" s="14">
        <v>0</v>
      </c>
      <c r="K924" s="2"/>
      <c r="L924" s="19"/>
      <c r="M924" s="14">
        <v>0</v>
      </c>
      <c r="N924" s="2"/>
      <c r="O924" s="14">
        <v>0</v>
      </c>
      <c r="P924" s="55"/>
      <c r="Q924" s="14">
        <v>0</v>
      </c>
      <c r="R924" s="2"/>
      <c r="S924" s="44">
        <f>[1]!DDIFF(0,0)</f>
        <v>0</v>
      </c>
      <c r="T924" s="2"/>
      <c r="U924" s="1"/>
      <c r="V924" s="62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</row>
    <row r="925" spans="1:67" hidden="1" x14ac:dyDescent="0.25">
      <c r="A925" t="s">
        <v>1973</v>
      </c>
      <c r="E925" s="42" t="s">
        <v>1974</v>
      </c>
      <c r="F925" s="43" t="s">
        <v>1754</v>
      </c>
      <c r="G925" s="14">
        <v>0</v>
      </c>
      <c r="H925" s="2"/>
      <c r="I925" s="19"/>
      <c r="J925" s="14">
        <v>0</v>
      </c>
      <c r="K925" s="2"/>
      <c r="L925" s="19"/>
      <c r="M925" s="14">
        <v>0</v>
      </c>
      <c r="N925" s="2"/>
      <c r="O925" s="14">
        <v>0</v>
      </c>
      <c r="P925" s="55"/>
      <c r="Q925" s="14">
        <v>0</v>
      </c>
      <c r="R925" s="2"/>
      <c r="S925" s="44">
        <f>[1]!DDIFF(0,0)</f>
        <v>0</v>
      </c>
      <c r="T925" s="2"/>
      <c r="U925" s="1"/>
      <c r="V925" s="62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</row>
    <row r="926" spans="1:67" collapsed="1" x14ac:dyDescent="0.25">
      <c r="A926" t="s">
        <v>1975</v>
      </c>
      <c r="E926" s="42" t="s">
        <v>1976</v>
      </c>
      <c r="F926" s="43" t="s">
        <v>1977</v>
      </c>
      <c r="G926" s="14">
        <v>260030</v>
      </c>
      <c r="H926" s="2"/>
      <c r="I926" s="19"/>
      <c r="J926" s="14">
        <v>0</v>
      </c>
      <c r="K926" s="2"/>
      <c r="L926" s="19"/>
      <c r="M926" s="14">
        <v>0</v>
      </c>
      <c r="N926" s="2"/>
      <c r="O926" s="14">
        <v>260030</v>
      </c>
      <c r="P926" s="55" t="s">
        <v>2863</v>
      </c>
      <c r="Q926" s="14">
        <v>400757</v>
      </c>
      <c r="R926" s="2"/>
      <c r="S926" s="44">
        <f>[1]!DDIFF(400757,260030)</f>
        <v>-140727</v>
      </c>
      <c r="T926" s="2"/>
      <c r="U926" s="1"/>
      <c r="V926" s="62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</row>
    <row r="927" spans="1:67" hidden="1" x14ac:dyDescent="0.25">
      <c r="A927" t="s">
        <v>1978</v>
      </c>
      <c r="E927" s="42" t="s">
        <v>1979</v>
      </c>
      <c r="F927" s="43" t="s">
        <v>1980</v>
      </c>
      <c r="G927" s="14">
        <v>0</v>
      </c>
      <c r="H927" s="2"/>
      <c r="I927" s="19"/>
      <c r="J927" s="14">
        <v>0</v>
      </c>
      <c r="K927" s="2"/>
      <c r="L927" s="19"/>
      <c r="M927" s="14">
        <v>0</v>
      </c>
      <c r="N927" s="2"/>
      <c r="O927" s="14">
        <v>0</v>
      </c>
      <c r="P927" s="55"/>
      <c r="Q927" s="14">
        <v>0</v>
      </c>
      <c r="R927" s="2"/>
      <c r="S927" s="44">
        <f>[1]!DDIFF(0,0)</f>
        <v>0</v>
      </c>
      <c r="T927" s="2"/>
      <c r="U927" s="1"/>
      <c r="V927" s="62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</row>
    <row r="928" spans="1:67" x14ac:dyDescent="0.25">
      <c r="A928" t="s">
        <v>1981</v>
      </c>
      <c r="E928" s="42" t="s">
        <v>1982</v>
      </c>
      <c r="F928" s="43" t="s">
        <v>1983</v>
      </c>
      <c r="G928" s="14">
        <v>161904</v>
      </c>
      <c r="H928" s="2"/>
      <c r="I928" s="19"/>
      <c r="J928" s="14">
        <v>0</v>
      </c>
      <c r="K928" s="2"/>
      <c r="L928" s="19"/>
      <c r="M928" s="14">
        <v>0</v>
      </c>
      <c r="N928" s="2"/>
      <c r="O928" s="14">
        <v>161904</v>
      </c>
      <c r="P928" s="55" t="s">
        <v>2863</v>
      </c>
      <c r="Q928" s="14">
        <v>97854</v>
      </c>
      <c r="R928" s="2"/>
      <c r="S928" s="44">
        <f>[1]!DDIFF(97854,161904)</f>
        <v>64050</v>
      </c>
      <c r="T928" s="2"/>
      <c r="U928" s="1"/>
      <c r="V928" s="62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</row>
    <row r="929" spans="1:67" hidden="1" x14ac:dyDescent="0.25">
      <c r="A929" t="s">
        <v>1984</v>
      </c>
      <c r="E929" s="42" t="s">
        <v>1985</v>
      </c>
      <c r="F929" s="43" t="s">
        <v>1986</v>
      </c>
      <c r="G929" s="14">
        <v>0</v>
      </c>
      <c r="H929" s="2"/>
      <c r="I929" s="19"/>
      <c r="J929" s="14">
        <v>0</v>
      </c>
      <c r="K929" s="2"/>
      <c r="L929" s="19"/>
      <c r="M929" s="14">
        <v>0</v>
      </c>
      <c r="N929" s="2"/>
      <c r="O929" s="14">
        <v>0</v>
      </c>
      <c r="P929" s="55"/>
      <c r="Q929" s="14">
        <v>0</v>
      </c>
      <c r="R929" s="2"/>
      <c r="S929" s="44">
        <f>[1]!DDIFF(0,0)</f>
        <v>0</v>
      </c>
      <c r="T929" s="2"/>
      <c r="U929" s="1"/>
      <c r="V929" s="62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</row>
    <row r="930" spans="1:67" x14ac:dyDescent="0.25">
      <c r="A930" t="s">
        <v>1987</v>
      </c>
      <c r="E930" s="42" t="s">
        <v>1988</v>
      </c>
      <c r="F930" s="43" t="s">
        <v>1989</v>
      </c>
      <c r="G930" s="14">
        <v>463242</v>
      </c>
      <c r="H930" s="2"/>
      <c r="I930" s="19"/>
      <c r="J930" s="14">
        <v>0</v>
      </c>
      <c r="K930" s="2"/>
      <c r="L930" s="19"/>
      <c r="M930" s="14">
        <v>0</v>
      </c>
      <c r="N930" s="2"/>
      <c r="O930" s="14">
        <v>463242</v>
      </c>
      <c r="P930" s="55" t="s">
        <v>2863</v>
      </c>
      <c r="Q930" s="14">
        <v>348183</v>
      </c>
      <c r="R930" s="2"/>
      <c r="S930" s="44">
        <f>[1]!DDIFF(348183,463242)</f>
        <v>115059</v>
      </c>
      <c r="T930" s="2"/>
      <c r="U930" s="1"/>
      <c r="V930" s="62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</row>
    <row r="931" spans="1:67" hidden="1" x14ac:dyDescent="0.25">
      <c r="A931" t="s">
        <v>1990</v>
      </c>
      <c r="E931" s="42" t="s">
        <v>1991</v>
      </c>
      <c r="F931" s="43" t="s">
        <v>1992</v>
      </c>
      <c r="G931" s="14">
        <v>0</v>
      </c>
      <c r="H931" s="2"/>
      <c r="I931" s="19"/>
      <c r="J931" s="14">
        <v>0</v>
      </c>
      <c r="K931" s="2"/>
      <c r="L931" s="19"/>
      <c r="M931" s="14">
        <v>0</v>
      </c>
      <c r="N931" s="2"/>
      <c r="O931" s="14">
        <v>0</v>
      </c>
      <c r="P931" s="55"/>
      <c r="Q931" s="14">
        <v>0</v>
      </c>
      <c r="R931" s="2"/>
      <c r="S931" s="44">
        <f>[1]!DDIFF(0,0)</f>
        <v>0</v>
      </c>
      <c r="T931" s="2"/>
      <c r="U931" s="1"/>
      <c r="V931" s="62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</row>
    <row r="932" spans="1:67" hidden="1" x14ac:dyDescent="0.25">
      <c r="A932" t="s">
        <v>1993</v>
      </c>
      <c r="E932" s="42" t="s">
        <v>1994</v>
      </c>
      <c r="F932" s="43" t="s">
        <v>1995</v>
      </c>
      <c r="G932" s="14">
        <v>0</v>
      </c>
      <c r="H932" s="2"/>
      <c r="I932" s="19"/>
      <c r="J932" s="14">
        <v>0</v>
      </c>
      <c r="K932" s="2"/>
      <c r="L932" s="19"/>
      <c r="M932" s="14">
        <v>0</v>
      </c>
      <c r="N932" s="2"/>
      <c r="O932" s="14">
        <v>0</v>
      </c>
      <c r="P932" s="55"/>
      <c r="Q932" s="14">
        <v>0</v>
      </c>
      <c r="R932" s="2"/>
      <c r="S932" s="44">
        <f>[1]!DDIFF(0,0)</f>
        <v>0</v>
      </c>
      <c r="T932" s="2"/>
      <c r="U932" s="1"/>
      <c r="V932" s="62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</row>
    <row r="933" spans="1:67" hidden="1" x14ac:dyDescent="0.25">
      <c r="A933" t="s">
        <v>1996</v>
      </c>
      <c r="E933" s="42" t="s">
        <v>1997</v>
      </c>
      <c r="F933" s="43" t="s">
        <v>1998</v>
      </c>
      <c r="G933" s="14">
        <v>0</v>
      </c>
      <c r="H933" s="2"/>
      <c r="I933" s="19"/>
      <c r="J933" s="14">
        <v>0</v>
      </c>
      <c r="K933" s="2"/>
      <c r="L933" s="19"/>
      <c r="M933" s="14">
        <v>0</v>
      </c>
      <c r="N933" s="2"/>
      <c r="O933" s="14">
        <v>0</v>
      </c>
      <c r="P933" s="55"/>
      <c r="Q933" s="14">
        <v>0</v>
      </c>
      <c r="R933" s="2"/>
      <c r="S933" s="44">
        <f>[1]!DDIFF(0,0)</f>
        <v>0</v>
      </c>
      <c r="T933" s="2"/>
      <c r="U933" s="1"/>
      <c r="V933" s="62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</row>
    <row r="934" spans="1:67" hidden="1" x14ac:dyDescent="0.25">
      <c r="A934" t="s">
        <v>1999</v>
      </c>
      <c r="E934" s="42" t="s">
        <v>2000</v>
      </c>
      <c r="F934" s="43" t="s">
        <v>2001</v>
      </c>
      <c r="G934" s="14">
        <v>0</v>
      </c>
      <c r="H934" s="2"/>
      <c r="I934" s="19"/>
      <c r="J934" s="14">
        <v>0</v>
      </c>
      <c r="K934" s="2"/>
      <c r="L934" s="19"/>
      <c r="M934" s="14">
        <v>0</v>
      </c>
      <c r="N934" s="2"/>
      <c r="O934" s="14">
        <v>0</v>
      </c>
      <c r="P934" s="55"/>
      <c r="Q934" s="14">
        <v>0</v>
      </c>
      <c r="R934" s="2"/>
      <c r="S934" s="44">
        <f>[1]!DDIFF(0,0)</f>
        <v>0</v>
      </c>
      <c r="T934" s="2"/>
      <c r="U934" s="1"/>
      <c r="V934" s="62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</row>
    <row r="935" spans="1:67" hidden="1" x14ac:dyDescent="0.25">
      <c r="A935" t="s">
        <v>2002</v>
      </c>
      <c r="E935" s="42" t="s">
        <v>2003</v>
      </c>
      <c r="F935" s="43" t="s">
        <v>2004</v>
      </c>
      <c r="G935" s="14">
        <v>0</v>
      </c>
      <c r="H935" s="2"/>
      <c r="I935" s="19"/>
      <c r="J935" s="14">
        <v>0</v>
      </c>
      <c r="K935" s="2"/>
      <c r="L935" s="19"/>
      <c r="M935" s="14">
        <v>0</v>
      </c>
      <c r="N935" s="2"/>
      <c r="O935" s="14">
        <v>0</v>
      </c>
      <c r="P935" s="55"/>
      <c r="Q935" s="14">
        <v>0</v>
      </c>
      <c r="R935" s="2"/>
      <c r="S935" s="44">
        <f>[1]!DDIFF(0,0)</f>
        <v>0</v>
      </c>
      <c r="T935" s="2"/>
      <c r="U935" s="1"/>
      <c r="V935" s="62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</row>
    <row r="936" spans="1:67" hidden="1" x14ac:dyDescent="0.25">
      <c r="A936" t="s">
        <v>2005</v>
      </c>
      <c r="E936" s="42" t="s">
        <v>2006</v>
      </c>
      <c r="F936" s="43" t="s">
        <v>2007</v>
      </c>
      <c r="G936" s="14">
        <v>0</v>
      </c>
      <c r="H936" s="2"/>
      <c r="I936" s="19"/>
      <c r="J936" s="14">
        <v>0</v>
      </c>
      <c r="K936" s="2"/>
      <c r="L936" s="19"/>
      <c r="M936" s="14">
        <v>0</v>
      </c>
      <c r="N936" s="2"/>
      <c r="O936" s="14">
        <v>0</v>
      </c>
      <c r="P936" s="55"/>
      <c r="Q936" s="14">
        <v>0</v>
      </c>
      <c r="R936" s="2"/>
      <c r="S936" s="44">
        <f>[1]!DDIFF(0,0)</f>
        <v>0</v>
      </c>
      <c r="T936" s="2"/>
      <c r="U936" s="1"/>
      <c r="V936" s="62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</row>
    <row r="937" spans="1:67" hidden="1" x14ac:dyDescent="0.25">
      <c r="A937" t="s">
        <v>2008</v>
      </c>
      <c r="E937" s="42" t="s">
        <v>2009</v>
      </c>
      <c r="F937" s="43" t="s">
        <v>2010</v>
      </c>
      <c r="G937" s="14">
        <v>0</v>
      </c>
      <c r="H937" s="2"/>
      <c r="I937" s="19"/>
      <c r="J937" s="14">
        <v>0</v>
      </c>
      <c r="K937" s="2"/>
      <c r="L937" s="19"/>
      <c r="M937" s="14">
        <v>0</v>
      </c>
      <c r="N937" s="2"/>
      <c r="O937" s="14">
        <v>0</v>
      </c>
      <c r="P937" s="55"/>
      <c r="Q937" s="14">
        <v>0</v>
      </c>
      <c r="R937" s="2"/>
      <c r="S937" s="44">
        <f>[1]!DDIFF(0,0)</f>
        <v>0</v>
      </c>
      <c r="T937" s="2"/>
      <c r="U937" s="1"/>
      <c r="V937" s="62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</row>
    <row r="938" spans="1:67" x14ac:dyDescent="0.25">
      <c r="A938" t="s">
        <v>2014</v>
      </c>
      <c r="E938" s="42" t="s">
        <v>2015</v>
      </c>
      <c r="F938" s="43" t="s">
        <v>2016</v>
      </c>
      <c r="G938" s="14">
        <v>270079</v>
      </c>
      <c r="H938" s="2"/>
      <c r="I938" s="19"/>
      <c r="J938" s="14">
        <v>0</v>
      </c>
      <c r="K938" s="2"/>
      <c r="L938" s="19"/>
      <c r="M938" s="14">
        <v>0</v>
      </c>
      <c r="N938" s="2"/>
      <c r="O938" s="14">
        <v>270079</v>
      </c>
      <c r="P938" s="55" t="s">
        <v>2863</v>
      </c>
      <c r="Q938" s="14">
        <v>258349</v>
      </c>
      <c r="R938" s="2"/>
      <c r="S938" s="44">
        <f>[1]!DDIFF(258349,270079)</f>
        <v>11730</v>
      </c>
      <c r="T938" s="2"/>
      <c r="U938" s="1"/>
      <c r="V938" s="62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</row>
    <row r="939" spans="1:67" hidden="1" x14ac:dyDescent="0.25">
      <c r="A939" t="s">
        <v>2017</v>
      </c>
      <c r="E939" s="42" t="s">
        <v>2018</v>
      </c>
      <c r="F939" s="43" t="s">
        <v>2019</v>
      </c>
      <c r="G939" s="14">
        <v>0</v>
      </c>
      <c r="H939" s="2"/>
      <c r="I939" s="19"/>
      <c r="J939" s="14">
        <v>0</v>
      </c>
      <c r="K939" s="2"/>
      <c r="L939" s="19"/>
      <c r="M939" s="14">
        <v>0</v>
      </c>
      <c r="N939" s="2"/>
      <c r="O939" s="14">
        <v>0</v>
      </c>
      <c r="P939" s="55"/>
      <c r="Q939" s="14">
        <v>0</v>
      </c>
      <c r="R939" s="2"/>
      <c r="S939" s="44">
        <f>[1]!DDIFF(0,0)</f>
        <v>0</v>
      </c>
      <c r="T939" s="2"/>
      <c r="U939" s="1"/>
      <c r="V939" s="62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</row>
    <row r="940" spans="1:67" x14ac:dyDescent="0.25">
      <c r="A940" t="s">
        <v>2020</v>
      </c>
      <c r="E940" s="42" t="s">
        <v>2021</v>
      </c>
      <c r="F940" s="43" t="s">
        <v>2022</v>
      </c>
      <c r="G940" s="14">
        <v>30641</v>
      </c>
      <c r="H940" s="2"/>
      <c r="I940" s="19"/>
      <c r="J940" s="14">
        <v>0</v>
      </c>
      <c r="K940" s="2"/>
      <c r="L940" s="19"/>
      <c r="M940" s="14">
        <v>0</v>
      </c>
      <c r="N940" s="2"/>
      <c r="O940" s="14">
        <v>30641</v>
      </c>
      <c r="P940" s="55" t="s">
        <v>2863</v>
      </c>
      <c r="Q940" s="14">
        <v>25092</v>
      </c>
      <c r="R940" s="2"/>
      <c r="S940" s="44">
        <f>[1]!DDIFF(25092,30641)</f>
        <v>5549</v>
      </c>
      <c r="T940" s="2"/>
      <c r="U940" s="1"/>
      <c r="V940" s="62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</row>
    <row r="941" spans="1:67" hidden="1" x14ac:dyDescent="0.25">
      <c r="A941" t="s">
        <v>2023</v>
      </c>
      <c r="E941" s="42" t="s">
        <v>2024</v>
      </c>
      <c r="F941" s="43" t="s">
        <v>2025</v>
      </c>
      <c r="G941" s="14">
        <v>0</v>
      </c>
      <c r="H941" s="2"/>
      <c r="I941" s="19"/>
      <c r="J941" s="14">
        <v>0</v>
      </c>
      <c r="K941" s="2"/>
      <c r="L941" s="19"/>
      <c r="M941" s="14">
        <v>0</v>
      </c>
      <c r="N941" s="2"/>
      <c r="O941" s="14">
        <v>0</v>
      </c>
      <c r="P941" s="55"/>
      <c r="Q941" s="14">
        <v>0</v>
      </c>
      <c r="R941" s="2"/>
      <c r="S941" s="44">
        <f>[1]!DDIFF(0,0)</f>
        <v>0</v>
      </c>
      <c r="T941" s="2"/>
      <c r="U941" s="1"/>
      <c r="V941" s="62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</row>
    <row r="942" spans="1:67" collapsed="1" x14ac:dyDescent="0.25">
      <c r="A942" t="s">
        <v>2026</v>
      </c>
      <c r="E942" s="42" t="s">
        <v>2027</v>
      </c>
      <c r="F942" s="43" t="s">
        <v>2028</v>
      </c>
      <c r="G942" s="14">
        <v>135551</v>
      </c>
      <c r="H942" s="2"/>
      <c r="I942" s="19"/>
      <c r="J942" s="14">
        <v>0</v>
      </c>
      <c r="K942" s="2"/>
      <c r="L942" s="19"/>
      <c r="M942" s="14">
        <v>-87886</v>
      </c>
      <c r="N942" s="2"/>
      <c r="O942" s="14">
        <v>47665</v>
      </c>
      <c r="P942" s="55" t="s">
        <v>2863</v>
      </c>
      <c r="Q942" s="14">
        <v>70349</v>
      </c>
      <c r="R942" s="2"/>
      <c r="S942" s="44">
        <f>[1]!DDIFF(70349,47665)</f>
        <v>-22684</v>
      </c>
      <c r="T942" s="2"/>
      <c r="U942" s="1"/>
      <c r="V942" s="62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</row>
    <row r="943" spans="1:67" hidden="1" outlineLevel="1" x14ac:dyDescent="0.25">
      <c r="A943" t="s">
        <v>2823</v>
      </c>
      <c r="E943" s="7"/>
      <c r="F943" s="10"/>
      <c r="G943" s="14"/>
      <c r="H943" s="2"/>
      <c r="I943" s="19"/>
      <c r="J943" s="14"/>
      <c r="K943" s="2"/>
      <c r="L943" s="54" t="s">
        <v>2824</v>
      </c>
      <c r="M943" s="14">
        <v>-87886</v>
      </c>
      <c r="N943" s="2"/>
      <c r="O943" s="14"/>
      <c r="P943" s="55"/>
      <c r="Q943" s="14"/>
      <c r="R943" s="2"/>
      <c r="S943" s="14"/>
      <c r="T943" s="2"/>
      <c r="U943" s="1"/>
      <c r="V943" s="62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</row>
    <row r="944" spans="1:67" hidden="1" x14ac:dyDescent="0.25">
      <c r="A944" t="s">
        <v>2029</v>
      </c>
      <c r="E944" s="42" t="s">
        <v>2030</v>
      </c>
      <c r="F944" s="43" t="s">
        <v>2031</v>
      </c>
      <c r="G944" s="14">
        <v>0</v>
      </c>
      <c r="H944" s="2"/>
      <c r="I944" s="19"/>
      <c r="J944" s="14">
        <v>0</v>
      </c>
      <c r="K944" s="2"/>
      <c r="L944" s="19"/>
      <c r="M944" s="14">
        <v>0</v>
      </c>
      <c r="N944" s="2"/>
      <c r="O944" s="14">
        <v>0</v>
      </c>
      <c r="P944" s="55"/>
      <c r="Q944" s="14">
        <v>0</v>
      </c>
      <c r="R944" s="2"/>
      <c r="S944" s="44">
        <f>[1]!DDIFF(0,0)</f>
        <v>0</v>
      </c>
      <c r="T944" s="2"/>
      <c r="U944" s="1"/>
      <c r="V944" s="62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</row>
    <row r="945" spans="1:67" hidden="1" x14ac:dyDescent="0.25">
      <c r="A945" t="s">
        <v>2032</v>
      </c>
      <c r="E945" s="42" t="s">
        <v>2033</v>
      </c>
      <c r="F945" s="43" t="s">
        <v>2034</v>
      </c>
      <c r="G945" s="14">
        <v>0</v>
      </c>
      <c r="H945" s="2"/>
      <c r="I945" s="19"/>
      <c r="J945" s="14">
        <v>0</v>
      </c>
      <c r="K945" s="2"/>
      <c r="L945" s="19"/>
      <c r="M945" s="14">
        <v>0</v>
      </c>
      <c r="N945" s="2"/>
      <c r="O945" s="14">
        <v>0</v>
      </c>
      <c r="P945" s="55"/>
      <c r="Q945" s="14">
        <v>0</v>
      </c>
      <c r="R945" s="2"/>
      <c r="S945" s="44">
        <f>[1]!DDIFF(0,0)</f>
        <v>0</v>
      </c>
      <c r="T945" s="2"/>
      <c r="U945" s="1"/>
      <c r="V945" s="62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</row>
    <row r="946" spans="1:67" hidden="1" x14ac:dyDescent="0.25">
      <c r="A946" t="s">
        <v>2035</v>
      </c>
      <c r="E946" s="42" t="s">
        <v>2036</v>
      </c>
      <c r="F946" s="43" t="s">
        <v>2037</v>
      </c>
      <c r="G946" s="14">
        <v>0</v>
      </c>
      <c r="H946" s="2"/>
      <c r="I946" s="19"/>
      <c r="J946" s="14">
        <v>0</v>
      </c>
      <c r="K946" s="2"/>
      <c r="L946" s="19"/>
      <c r="M946" s="14">
        <v>0</v>
      </c>
      <c r="N946" s="2"/>
      <c r="O946" s="14">
        <v>0</v>
      </c>
      <c r="P946" s="55"/>
      <c r="Q946" s="14">
        <v>0</v>
      </c>
      <c r="R946" s="2"/>
      <c r="S946" s="44">
        <f>[1]!DDIFF(0,0)</f>
        <v>0</v>
      </c>
      <c r="T946" s="2"/>
      <c r="U946" s="1"/>
      <c r="V946" s="62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</row>
    <row r="947" spans="1:67" hidden="1" x14ac:dyDescent="0.25">
      <c r="A947" t="s">
        <v>2038</v>
      </c>
      <c r="E947" s="42" t="s">
        <v>2039</v>
      </c>
      <c r="F947" s="43" t="s">
        <v>2040</v>
      </c>
      <c r="G947" s="14">
        <v>0</v>
      </c>
      <c r="H947" s="2"/>
      <c r="I947" s="19"/>
      <c r="J947" s="14">
        <v>0</v>
      </c>
      <c r="K947" s="2"/>
      <c r="L947" s="19"/>
      <c r="M947" s="14">
        <v>0</v>
      </c>
      <c r="N947" s="2"/>
      <c r="O947" s="14">
        <v>0</v>
      </c>
      <c r="P947" s="55"/>
      <c r="Q947" s="14">
        <v>0</v>
      </c>
      <c r="R947" s="2"/>
      <c r="S947" s="44">
        <f>[1]!DDIFF(0,0)</f>
        <v>0</v>
      </c>
      <c r="T947" s="2"/>
      <c r="U947" s="1"/>
      <c r="V947" s="62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</row>
    <row r="948" spans="1:67" hidden="1" x14ac:dyDescent="0.25">
      <c r="A948" t="s">
        <v>2041</v>
      </c>
      <c r="E948" s="42" t="s">
        <v>2042</v>
      </c>
      <c r="F948" s="43" t="s">
        <v>2043</v>
      </c>
      <c r="G948" s="14">
        <v>0</v>
      </c>
      <c r="H948" s="2"/>
      <c r="I948" s="19"/>
      <c r="J948" s="14">
        <v>0</v>
      </c>
      <c r="K948" s="2"/>
      <c r="L948" s="19"/>
      <c r="M948" s="14">
        <v>0</v>
      </c>
      <c r="N948" s="2"/>
      <c r="O948" s="14">
        <v>0</v>
      </c>
      <c r="P948" s="55"/>
      <c r="Q948" s="14">
        <v>0</v>
      </c>
      <c r="R948" s="2"/>
      <c r="S948" s="44">
        <f>[1]!DDIFF(0,0)</f>
        <v>0</v>
      </c>
      <c r="T948" s="2"/>
      <c r="U948" s="1"/>
      <c r="V948" s="62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</row>
    <row r="949" spans="1:67" hidden="1" x14ac:dyDescent="0.25">
      <c r="A949" t="s">
        <v>2044</v>
      </c>
      <c r="E949" s="42" t="s">
        <v>2045</v>
      </c>
      <c r="F949" s="43" t="s">
        <v>2046</v>
      </c>
      <c r="G949" s="14">
        <v>0</v>
      </c>
      <c r="H949" s="2"/>
      <c r="I949" s="19"/>
      <c r="J949" s="14">
        <v>0</v>
      </c>
      <c r="K949" s="2"/>
      <c r="L949" s="19"/>
      <c r="M949" s="14">
        <v>0</v>
      </c>
      <c r="N949" s="2"/>
      <c r="O949" s="14">
        <v>0</v>
      </c>
      <c r="P949" s="55"/>
      <c r="Q949" s="14">
        <v>0</v>
      </c>
      <c r="R949" s="2"/>
      <c r="S949" s="44">
        <f>[1]!DDIFF(0,0)</f>
        <v>0</v>
      </c>
      <c r="T949" s="2"/>
      <c r="U949" s="1"/>
      <c r="V949" s="62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</row>
    <row r="950" spans="1:67" hidden="1" x14ac:dyDescent="0.25">
      <c r="A950" t="s">
        <v>2047</v>
      </c>
      <c r="E950" s="42" t="s">
        <v>2048</v>
      </c>
      <c r="F950" s="43" t="s">
        <v>2049</v>
      </c>
      <c r="G950" s="14">
        <v>0</v>
      </c>
      <c r="H950" s="2"/>
      <c r="I950" s="19"/>
      <c r="J950" s="14">
        <v>0</v>
      </c>
      <c r="K950" s="2"/>
      <c r="L950" s="19"/>
      <c r="M950" s="14">
        <v>0</v>
      </c>
      <c r="N950" s="2"/>
      <c r="O950" s="14">
        <v>0</v>
      </c>
      <c r="P950" s="55"/>
      <c r="Q950" s="14">
        <v>0</v>
      </c>
      <c r="R950" s="2"/>
      <c r="S950" s="44">
        <f>[1]!DDIFF(0,0)</f>
        <v>0</v>
      </c>
      <c r="T950" s="2"/>
      <c r="U950" s="1"/>
      <c r="V950" s="62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</row>
    <row r="951" spans="1:67" x14ac:dyDescent="0.25">
      <c r="A951" t="s">
        <v>2053</v>
      </c>
      <c r="E951" s="42" t="s">
        <v>2054</v>
      </c>
      <c r="F951" s="43" t="s">
        <v>2055</v>
      </c>
      <c r="G951" s="14">
        <v>351883</v>
      </c>
      <c r="H951" s="2"/>
      <c r="I951" s="19"/>
      <c r="J951" s="14">
        <v>0</v>
      </c>
      <c r="K951" s="2"/>
      <c r="L951" s="19"/>
      <c r="M951" s="14">
        <v>0</v>
      </c>
      <c r="N951" s="2"/>
      <c r="O951" s="14">
        <v>351883</v>
      </c>
      <c r="P951" s="55" t="s">
        <v>2863</v>
      </c>
      <c r="Q951" s="14">
        <v>330015</v>
      </c>
      <c r="R951" s="2"/>
      <c r="S951" s="44">
        <f>[1]!DDIFF(330015,351883)</f>
        <v>21868</v>
      </c>
      <c r="T951" s="2"/>
      <c r="U951" s="1"/>
      <c r="V951" s="62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</row>
    <row r="952" spans="1:67" hidden="1" x14ac:dyDescent="0.25">
      <c r="A952" t="s">
        <v>2056</v>
      </c>
      <c r="E952" s="42" t="s">
        <v>2057</v>
      </c>
      <c r="F952" s="43" t="s">
        <v>2058</v>
      </c>
      <c r="G952" s="14">
        <v>0</v>
      </c>
      <c r="H952" s="2"/>
      <c r="I952" s="19"/>
      <c r="J952" s="14">
        <v>0</v>
      </c>
      <c r="K952" s="2"/>
      <c r="L952" s="19"/>
      <c r="M952" s="14">
        <v>0</v>
      </c>
      <c r="N952" s="2"/>
      <c r="O952" s="14">
        <v>0</v>
      </c>
      <c r="P952" s="55"/>
      <c r="Q952" s="14">
        <v>0</v>
      </c>
      <c r="R952" s="2"/>
      <c r="S952" s="44">
        <f>[1]!DDIFF(0,0)</f>
        <v>0</v>
      </c>
      <c r="T952" s="2"/>
      <c r="U952" s="1"/>
      <c r="V952" s="62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</row>
    <row r="953" spans="1:67" hidden="1" x14ac:dyDescent="0.25">
      <c r="A953" t="s">
        <v>2059</v>
      </c>
      <c r="E953" s="42" t="s">
        <v>2060</v>
      </c>
      <c r="F953" s="43" t="s">
        <v>2061</v>
      </c>
      <c r="G953" s="14">
        <v>0</v>
      </c>
      <c r="H953" s="2"/>
      <c r="I953" s="19"/>
      <c r="J953" s="14">
        <v>0</v>
      </c>
      <c r="K953" s="2"/>
      <c r="L953" s="19"/>
      <c r="M953" s="14">
        <v>0</v>
      </c>
      <c r="N953" s="2"/>
      <c r="O953" s="14">
        <v>0</v>
      </c>
      <c r="P953" s="55"/>
      <c r="Q953" s="14">
        <v>0</v>
      </c>
      <c r="R953" s="2"/>
      <c r="S953" s="44">
        <f>[1]!DDIFF(0,0)</f>
        <v>0</v>
      </c>
      <c r="T953" s="2"/>
      <c r="U953" s="1"/>
      <c r="V953" s="62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</row>
    <row r="954" spans="1:67" hidden="1" x14ac:dyDescent="0.25">
      <c r="A954" t="s">
        <v>2062</v>
      </c>
      <c r="E954" s="42" t="s">
        <v>2063</v>
      </c>
      <c r="F954" s="43" t="s">
        <v>2064</v>
      </c>
      <c r="G954" s="14">
        <v>0</v>
      </c>
      <c r="H954" s="2"/>
      <c r="I954" s="19"/>
      <c r="J954" s="14">
        <v>0</v>
      </c>
      <c r="K954" s="2"/>
      <c r="L954" s="19"/>
      <c r="M954" s="14">
        <v>0</v>
      </c>
      <c r="N954" s="2"/>
      <c r="O954" s="14">
        <v>0</v>
      </c>
      <c r="P954" s="55"/>
      <c r="Q954" s="14">
        <v>0</v>
      </c>
      <c r="R954" s="2"/>
      <c r="S954" s="44">
        <f>[1]!DDIFF(0,0)</f>
        <v>0</v>
      </c>
      <c r="T954" s="2"/>
      <c r="U954" s="1"/>
      <c r="V954" s="62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</row>
    <row r="955" spans="1:67" hidden="1" x14ac:dyDescent="0.25">
      <c r="A955" t="s">
        <v>2065</v>
      </c>
      <c r="E955" s="42" t="s">
        <v>2066</v>
      </c>
      <c r="F955" s="43" t="s">
        <v>2067</v>
      </c>
      <c r="G955" s="14">
        <v>0</v>
      </c>
      <c r="H955" s="2"/>
      <c r="I955" s="19"/>
      <c r="J955" s="14">
        <v>0</v>
      </c>
      <c r="K955" s="2"/>
      <c r="L955" s="19"/>
      <c r="M955" s="14">
        <v>0</v>
      </c>
      <c r="N955" s="2"/>
      <c r="O955" s="14">
        <v>0</v>
      </c>
      <c r="P955" s="55"/>
      <c r="Q955" s="14">
        <v>0</v>
      </c>
      <c r="R955" s="2"/>
      <c r="S955" s="44">
        <f>[1]!DDIFF(0,0)</f>
        <v>0</v>
      </c>
      <c r="T955" s="2"/>
      <c r="U955" s="1"/>
      <c r="V955" s="62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</row>
    <row r="956" spans="1:67" hidden="1" x14ac:dyDescent="0.25">
      <c r="A956" t="s">
        <v>2068</v>
      </c>
      <c r="E956" s="42" t="s">
        <v>2069</v>
      </c>
      <c r="F956" s="43" t="s">
        <v>2070</v>
      </c>
      <c r="G956" s="14">
        <v>0</v>
      </c>
      <c r="H956" s="2"/>
      <c r="I956" s="19"/>
      <c r="J956" s="14">
        <v>0</v>
      </c>
      <c r="K956" s="2"/>
      <c r="L956" s="19"/>
      <c r="M956" s="14">
        <v>0</v>
      </c>
      <c r="N956" s="2"/>
      <c r="O956" s="14">
        <v>0</v>
      </c>
      <c r="P956" s="55"/>
      <c r="Q956" s="14">
        <v>0</v>
      </c>
      <c r="R956" s="2"/>
      <c r="S956" s="44">
        <f>[1]!DDIFF(0,0)</f>
        <v>0</v>
      </c>
      <c r="T956" s="2"/>
      <c r="U956" s="1"/>
      <c r="V956" s="62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</row>
    <row r="957" spans="1:67" hidden="1" x14ac:dyDescent="0.25">
      <c r="A957" t="s">
        <v>2071</v>
      </c>
      <c r="E957" s="42" t="s">
        <v>2072</v>
      </c>
      <c r="F957" s="43" t="s">
        <v>2073</v>
      </c>
      <c r="G957" s="14">
        <v>0</v>
      </c>
      <c r="H957" s="2"/>
      <c r="I957" s="19"/>
      <c r="J957" s="14">
        <v>0</v>
      </c>
      <c r="K957" s="2"/>
      <c r="L957" s="19"/>
      <c r="M957" s="14">
        <v>0</v>
      </c>
      <c r="N957" s="2"/>
      <c r="O957" s="14">
        <v>0</v>
      </c>
      <c r="P957" s="55"/>
      <c r="Q957" s="14">
        <v>0</v>
      </c>
      <c r="R957" s="2"/>
      <c r="S957" s="44">
        <f>[1]!DDIFF(0,0)</f>
        <v>0</v>
      </c>
      <c r="T957" s="2"/>
      <c r="U957" s="1"/>
      <c r="V957" s="62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</row>
    <row r="958" spans="1:67" hidden="1" x14ac:dyDescent="0.25">
      <c r="A958" t="s">
        <v>2074</v>
      </c>
      <c r="E958" s="42" t="s">
        <v>2075</v>
      </c>
      <c r="F958" s="43" t="s">
        <v>2076</v>
      </c>
      <c r="G958" s="14">
        <v>0</v>
      </c>
      <c r="H958" s="2"/>
      <c r="I958" s="19"/>
      <c r="J958" s="14">
        <v>0</v>
      </c>
      <c r="K958" s="2"/>
      <c r="L958" s="19"/>
      <c r="M958" s="14">
        <v>0</v>
      </c>
      <c r="N958" s="2"/>
      <c r="O958" s="14">
        <v>0</v>
      </c>
      <c r="P958" s="55"/>
      <c r="Q958" s="14">
        <v>0</v>
      </c>
      <c r="R958" s="2"/>
      <c r="S958" s="44">
        <f>[1]!DDIFF(0,0)</f>
        <v>0</v>
      </c>
      <c r="T958" s="2"/>
      <c r="U958" s="1"/>
      <c r="V958" s="62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</row>
    <row r="959" spans="1:67" hidden="1" x14ac:dyDescent="0.25">
      <c r="A959" t="s">
        <v>2077</v>
      </c>
      <c r="E959" s="42" t="s">
        <v>2078</v>
      </c>
      <c r="F959" s="43" t="s">
        <v>2079</v>
      </c>
      <c r="G959" s="14">
        <v>0</v>
      </c>
      <c r="H959" s="2"/>
      <c r="I959" s="19"/>
      <c r="J959" s="14">
        <v>0</v>
      </c>
      <c r="K959" s="2"/>
      <c r="L959" s="19"/>
      <c r="M959" s="14">
        <v>0</v>
      </c>
      <c r="N959" s="2"/>
      <c r="O959" s="14">
        <v>0</v>
      </c>
      <c r="P959" s="55"/>
      <c r="Q959" s="14">
        <v>0</v>
      </c>
      <c r="R959" s="2"/>
      <c r="S959" s="44">
        <f>[1]!DDIFF(0,0)</f>
        <v>0</v>
      </c>
      <c r="T959" s="2"/>
      <c r="U959" s="1"/>
      <c r="V959" s="62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</row>
    <row r="960" spans="1:67" hidden="1" x14ac:dyDescent="0.25">
      <c r="A960" t="s">
        <v>2080</v>
      </c>
      <c r="E960" s="42" t="s">
        <v>2081</v>
      </c>
      <c r="F960" s="43" t="s">
        <v>2082</v>
      </c>
      <c r="G960" s="14">
        <v>0</v>
      </c>
      <c r="H960" s="2"/>
      <c r="I960" s="19"/>
      <c r="J960" s="14">
        <v>0</v>
      </c>
      <c r="K960" s="2"/>
      <c r="L960" s="19"/>
      <c r="M960" s="14">
        <v>0</v>
      </c>
      <c r="N960" s="2"/>
      <c r="O960" s="14">
        <v>0</v>
      </c>
      <c r="P960" s="55"/>
      <c r="Q960" s="14">
        <v>0</v>
      </c>
      <c r="R960" s="2"/>
      <c r="S960" s="44">
        <f>[1]!DDIFF(0,0)</f>
        <v>0</v>
      </c>
      <c r="T960" s="2"/>
      <c r="U960" s="1"/>
      <c r="V960" s="62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</row>
    <row r="961" spans="1:67" hidden="1" x14ac:dyDescent="0.25">
      <c r="A961" t="s">
        <v>2083</v>
      </c>
      <c r="E961" s="42" t="s">
        <v>2084</v>
      </c>
      <c r="F961" s="43" t="s">
        <v>2085</v>
      </c>
      <c r="G961" s="14">
        <v>0</v>
      </c>
      <c r="H961" s="2"/>
      <c r="I961" s="19"/>
      <c r="J961" s="14">
        <v>0</v>
      </c>
      <c r="K961" s="2"/>
      <c r="L961" s="19"/>
      <c r="M961" s="14">
        <v>0</v>
      </c>
      <c r="N961" s="2"/>
      <c r="O961" s="14">
        <v>0</v>
      </c>
      <c r="P961" s="55"/>
      <c r="Q961" s="14">
        <v>0</v>
      </c>
      <c r="R961" s="2"/>
      <c r="S961" s="44">
        <f>[1]!DDIFF(0,0)</f>
        <v>0</v>
      </c>
      <c r="T961" s="2"/>
      <c r="U961" s="1"/>
      <c r="V961" s="62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</row>
    <row r="962" spans="1:67" hidden="1" x14ac:dyDescent="0.25">
      <c r="A962" t="s">
        <v>2086</v>
      </c>
      <c r="E962" s="42" t="s">
        <v>2087</v>
      </c>
      <c r="F962" s="43" t="s">
        <v>2088</v>
      </c>
      <c r="G962" s="14">
        <v>0</v>
      </c>
      <c r="H962" s="2"/>
      <c r="I962" s="19"/>
      <c r="J962" s="14">
        <v>0</v>
      </c>
      <c r="K962" s="2"/>
      <c r="L962" s="19"/>
      <c r="M962" s="14">
        <v>0</v>
      </c>
      <c r="N962" s="2"/>
      <c r="O962" s="14">
        <v>0</v>
      </c>
      <c r="P962" s="55"/>
      <c r="Q962" s="14">
        <v>0</v>
      </c>
      <c r="R962" s="2"/>
      <c r="S962" s="44">
        <f>[1]!DDIFF(0,0)</f>
        <v>0</v>
      </c>
      <c r="T962" s="2"/>
      <c r="U962" s="1"/>
      <c r="V962" s="62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</row>
    <row r="963" spans="1:67" hidden="1" x14ac:dyDescent="0.25">
      <c r="A963" t="s">
        <v>2089</v>
      </c>
      <c r="E963" s="42" t="s">
        <v>2090</v>
      </c>
      <c r="F963" s="43" t="s">
        <v>2091</v>
      </c>
      <c r="G963" s="14">
        <v>0</v>
      </c>
      <c r="H963" s="2"/>
      <c r="I963" s="19"/>
      <c r="J963" s="14">
        <v>0</v>
      </c>
      <c r="K963" s="2"/>
      <c r="L963" s="19"/>
      <c r="M963" s="14">
        <v>0</v>
      </c>
      <c r="N963" s="2"/>
      <c r="O963" s="14">
        <v>0</v>
      </c>
      <c r="P963" s="55"/>
      <c r="Q963" s="14">
        <v>0</v>
      </c>
      <c r="R963" s="2"/>
      <c r="S963" s="44">
        <f>[1]!DDIFF(0,0)</f>
        <v>0</v>
      </c>
      <c r="T963" s="2"/>
      <c r="U963" s="1"/>
      <c r="V963" s="62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</row>
    <row r="964" spans="1:67" hidden="1" x14ac:dyDescent="0.25">
      <c r="A964" t="s">
        <v>2095</v>
      </c>
      <c r="E964" s="42" t="s">
        <v>2096</v>
      </c>
      <c r="F964" s="43" t="s">
        <v>1182</v>
      </c>
      <c r="G964" s="14">
        <v>0</v>
      </c>
      <c r="H964" s="2"/>
      <c r="I964" s="19"/>
      <c r="J964" s="14">
        <v>0</v>
      </c>
      <c r="K964" s="2"/>
      <c r="L964" s="19"/>
      <c r="M964" s="14">
        <v>0</v>
      </c>
      <c r="N964" s="2"/>
      <c r="O964" s="14">
        <v>0</v>
      </c>
      <c r="P964" s="55"/>
      <c r="Q964" s="14">
        <v>0</v>
      </c>
      <c r="R964" s="2"/>
      <c r="S964" s="44">
        <f>[1]!DDIFF(0,0)</f>
        <v>0</v>
      </c>
      <c r="T964" s="2"/>
      <c r="U964" s="1"/>
      <c r="V964" s="62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</row>
    <row r="965" spans="1:67" collapsed="1" x14ac:dyDescent="0.25">
      <c r="A965" t="s">
        <v>2097</v>
      </c>
      <c r="E965" s="42" t="s">
        <v>2098</v>
      </c>
      <c r="F965" s="43" t="s">
        <v>2099</v>
      </c>
      <c r="G965" s="14">
        <v>139685</v>
      </c>
      <c r="H965" s="2"/>
      <c r="I965" s="19"/>
      <c r="J965" s="14">
        <v>0</v>
      </c>
      <c r="K965" s="2"/>
      <c r="L965" s="19"/>
      <c r="M965" s="14">
        <v>11042</v>
      </c>
      <c r="N965" s="2"/>
      <c r="O965" s="14">
        <v>150727</v>
      </c>
      <c r="P965" s="55" t="s">
        <v>2863</v>
      </c>
      <c r="Q965" s="14">
        <v>126914</v>
      </c>
      <c r="R965" s="2"/>
      <c r="S965" s="44">
        <f>[1]!DDIFF(126914,150727)</f>
        <v>23813</v>
      </c>
      <c r="T965" s="2"/>
      <c r="U965" s="1"/>
      <c r="V965" s="62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</row>
    <row r="966" spans="1:67" hidden="1" outlineLevel="1" x14ac:dyDescent="0.25">
      <c r="A966" t="s">
        <v>2853</v>
      </c>
      <c r="E966" s="7"/>
      <c r="F966" s="10"/>
      <c r="G966" s="14"/>
      <c r="H966" s="2"/>
      <c r="I966" s="19"/>
      <c r="J966" s="14"/>
      <c r="K966" s="2"/>
      <c r="L966" s="54" t="s">
        <v>2840</v>
      </c>
      <c r="M966" s="14">
        <v>11042</v>
      </c>
      <c r="N966" s="2"/>
      <c r="O966" s="14"/>
      <c r="P966" s="55"/>
      <c r="Q966" s="14"/>
      <c r="R966" s="2"/>
      <c r="S966" s="14"/>
      <c r="T966" s="2"/>
      <c r="U966" s="1"/>
      <c r="V966" s="62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</row>
    <row r="967" spans="1:67" x14ac:dyDescent="0.25">
      <c r="A967" t="s">
        <v>2100</v>
      </c>
      <c r="E967" s="42" t="s">
        <v>2101</v>
      </c>
      <c r="F967" s="43" t="s">
        <v>2102</v>
      </c>
      <c r="G967" s="14">
        <v>31635</v>
      </c>
      <c r="H967" s="2"/>
      <c r="I967" s="19"/>
      <c r="J967" s="14">
        <v>0</v>
      </c>
      <c r="K967" s="2"/>
      <c r="L967" s="19"/>
      <c r="M967" s="14">
        <v>0</v>
      </c>
      <c r="N967" s="2"/>
      <c r="O967" s="14">
        <v>31635</v>
      </c>
      <c r="P967" s="55" t="s">
        <v>2863</v>
      </c>
      <c r="Q967" s="14">
        <v>29999</v>
      </c>
      <c r="R967" s="2"/>
      <c r="S967" s="44">
        <f>[1]!DDIFF(29999,31635)</f>
        <v>1636</v>
      </c>
      <c r="T967" s="2"/>
      <c r="U967" s="1"/>
      <c r="V967" s="62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</row>
    <row r="968" spans="1:67" collapsed="1" x14ac:dyDescent="0.25">
      <c r="A968" t="s">
        <v>2103</v>
      </c>
      <c r="E968" s="42" t="s">
        <v>2104</v>
      </c>
      <c r="F968" s="43" t="s">
        <v>2105</v>
      </c>
      <c r="G968" s="14">
        <v>10216</v>
      </c>
      <c r="H968" s="2"/>
      <c r="I968" s="19"/>
      <c r="J968" s="14">
        <v>1186</v>
      </c>
      <c r="K968" s="2"/>
      <c r="L968" s="19"/>
      <c r="M968" s="14">
        <v>0</v>
      </c>
      <c r="N968" s="2"/>
      <c r="O968" s="14">
        <v>11402</v>
      </c>
      <c r="P968" s="57" t="s">
        <v>2888</v>
      </c>
      <c r="Q968" s="14">
        <v>11090</v>
      </c>
      <c r="R968" s="2"/>
      <c r="S968" s="44">
        <f>[1]!DDIFF(11090,11402)</f>
        <v>312</v>
      </c>
      <c r="T968" s="2"/>
      <c r="U968" s="57" t="s">
        <v>2888</v>
      </c>
      <c r="V968" s="62">
        <f>(+O968+O970+O972)*0.8</f>
        <v>470104.80000000005</v>
      </c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</row>
    <row r="969" spans="1:67" hidden="1" outlineLevel="1" x14ac:dyDescent="0.25">
      <c r="A969" t="s">
        <v>2754</v>
      </c>
      <c r="E969" s="7"/>
      <c r="F969" s="10"/>
      <c r="G969" s="14"/>
      <c r="H969" s="2"/>
      <c r="I969" s="54" t="s">
        <v>2736</v>
      </c>
      <c r="J969" s="14">
        <v>1186</v>
      </c>
      <c r="K969" s="2"/>
      <c r="L969" s="19"/>
      <c r="M969" s="14"/>
      <c r="N969" s="2"/>
      <c r="O969" s="14"/>
      <c r="P969" s="55"/>
      <c r="Q969" s="14"/>
      <c r="R969" s="2"/>
      <c r="S969" s="14"/>
      <c r="T969" s="2"/>
      <c r="U969" s="1"/>
      <c r="V969" s="62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</row>
    <row r="970" spans="1:67" collapsed="1" x14ac:dyDescent="0.25">
      <c r="A970" t="s">
        <v>2106</v>
      </c>
      <c r="E970" s="42" t="s">
        <v>2107</v>
      </c>
      <c r="F970" s="43" t="s">
        <v>2108</v>
      </c>
      <c r="G970" s="14">
        <v>486069</v>
      </c>
      <c r="H970" s="2"/>
      <c r="I970" s="19"/>
      <c r="J970" s="14">
        <v>2274</v>
      </c>
      <c r="K970" s="2"/>
      <c r="L970" s="19"/>
      <c r="M970" s="14">
        <v>0</v>
      </c>
      <c r="N970" s="2"/>
      <c r="O970" s="14">
        <v>488343</v>
      </c>
      <c r="P970" s="57" t="s">
        <v>2888</v>
      </c>
      <c r="Q970" s="14">
        <v>430186</v>
      </c>
      <c r="R970" s="2"/>
      <c r="S970" s="44">
        <f>[1]!DDIFF(430186,488343)</f>
        <v>58157</v>
      </c>
      <c r="T970" s="2"/>
      <c r="U970" s="1"/>
      <c r="V970" s="62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</row>
    <row r="971" spans="1:67" hidden="1" outlineLevel="1" x14ac:dyDescent="0.25">
      <c r="A971" t="s">
        <v>2755</v>
      </c>
      <c r="E971" s="7"/>
      <c r="F971" s="10"/>
      <c r="G971" s="14"/>
      <c r="H971" s="2"/>
      <c r="I971" s="54" t="s">
        <v>2736</v>
      </c>
      <c r="J971" s="14">
        <v>2274</v>
      </c>
      <c r="K971" s="2"/>
      <c r="L971" s="19"/>
      <c r="M971" s="14"/>
      <c r="N971" s="2"/>
      <c r="O971" s="14"/>
      <c r="P971" s="55"/>
      <c r="Q971" s="14"/>
      <c r="R971" s="2"/>
      <c r="S971" s="14"/>
      <c r="T971" s="2"/>
      <c r="U971" s="1"/>
      <c r="V971" s="62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</row>
    <row r="972" spans="1:67" collapsed="1" x14ac:dyDescent="0.25">
      <c r="A972" t="s">
        <v>2109</v>
      </c>
      <c r="E972" s="42" t="s">
        <v>2110</v>
      </c>
      <c r="F972" s="43" t="s">
        <v>2111</v>
      </c>
      <c r="G972" s="14">
        <v>0</v>
      </c>
      <c r="H972" s="2"/>
      <c r="I972" s="19"/>
      <c r="J972" s="14">
        <v>0</v>
      </c>
      <c r="K972" s="2"/>
      <c r="L972" s="19"/>
      <c r="M972" s="14">
        <v>87886</v>
      </c>
      <c r="N972" s="2"/>
      <c r="O972" s="14">
        <v>87886</v>
      </c>
      <c r="P972" s="57" t="s">
        <v>2888</v>
      </c>
      <c r="Q972" s="14">
        <v>74262</v>
      </c>
      <c r="R972" s="2"/>
      <c r="S972" s="44">
        <f>[1]!DDIFF(74262,87886)</f>
        <v>13624</v>
      </c>
      <c r="T972" s="2"/>
      <c r="U972" s="1"/>
      <c r="V972" s="62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</row>
    <row r="973" spans="1:67" hidden="1" outlineLevel="1" x14ac:dyDescent="0.25">
      <c r="A973" t="s">
        <v>2825</v>
      </c>
      <c r="E973" s="7"/>
      <c r="F973" s="10"/>
      <c r="G973" s="14"/>
      <c r="H973" s="2"/>
      <c r="I973" s="19"/>
      <c r="J973" s="14"/>
      <c r="K973" s="2"/>
      <c r="L973" s="54" t="s">
        <v>2824</v>
      </c>
      <c r="M973" s="14">
        <v>87886</v>
      </c>
      <c r="N973" s="2"/>
      <c r="O973" s="14"/>
      <c r="P973" s="55"/>
      <c r="Q973" s="14"/>
      <c r="R973" s="2"/>
      <c r="S973" s="14"/>
      <c r="T973" s="2"/>
      <c r="U973" s="1"/>
      <c r="V973" s="62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</row>
    <row r="974" spans="1:67" x14ac:dyDescent="0.25">
      <c r="A974" t="s">
        <v>2112</v>
      </c>
      <c r="E974" s="42" t="s">
        <v>2113</v>
      </c>
      <c r="F974" s="43" t="s">
        <v>2114</v>
      </c>
      <c r="G974" s="14">
        <v>392</v>
      </c>
      <c r="H974" s="2"/>
      <c r="I974" s="19"/>
      <c r="J974" s="14">
        <v>0</v>
      </c>
      <c r="K974" s="2"/>
      <c r="L974" s="19"/>
      <c r="M974" s="14">
        <v>0</v>
      </c>
      <c r="N974" s="2"/>
      <c r="O974" s="14">
        <v>392</v>
      </c>
      <c r="P974" s="55" t="s">
        <v>2863</v>
      </c>
      <c r="Q974" s="14">
        <v>1701</v>
      </c>
      <c r="R974" s="2"/>
      <c r="S974" s="44">
        <f>[1]!DDIFF(1701,392)</f>
        <v>-1309</v>
      </c>
      <c r="T974" s="2"/>
      <c r="U974" s="1"/>
      <c r="V974" s="62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</row>
    <row r="975" spans="1:67" x14ac:dyDescent="0.25">
      <c r="A975" t="s">
        <v>2115</v>
      </c>
      <c r="E975" s="42" t="s">
        <v>2116</v>
      </c>
      <c r="F975" s="43" t="s">
        <v>2117</v>
      </c>
      <c r="G975" s="14">
        <v>136129</v>
      </c>
      <c r="H975" s="2"/>
      <c r="I975" s="19"/>
      <c r="J975" s="14">
        <v>0</v>
      </c>
      <c r="K975" s="2"/>
      <c r="L975" s="19"/>
      <c r="M975" s="14">
        <v>0</v>
      </c>
      <c r="N975" s="2"/>
      <c r="O975" s="14">
        <v>136129</v>
      </c>
      <c r="P975" s="55" t="s">
        <v>2863</v>
      </c>
      <c r="Q975" s="14">
        <v>134937</v>
      </c>
      <c r="R975" s="2"/>
      <c r="S975" s="44">
        <f>[1]!DDIFF(134937,136129)</f>
        <v>1192</v>
      </c>
      <c r="T975" s="2"/>
      <c r="U975" s="1"/>
      <c r="V975" s="62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</row>
    <row r="976" spans="1:67" x14ac:dyDescent="0.25">
      <c r="A976" t="s">
        <v>2118</v>
      </c>
      <c r="E976" s="42" t="s">
        <v>2119</v>
      </c>
      <c r="F976" s="43" t="s">
        <v>2120</v>
      </c>
      <c r="G976" s="14">
        <v>16246</v>
      </c>
      <c r="H976" s="2"/>
      <c r="I976" s="19"/>
      <c r="J976" s="14">
        <v>0</v>
      </c>
      <c r="K976" s="2"/>
      <c r="L976" s="19"/>
      <c r="M976" s="14">
        <v>0</v>
      </c>
      <c r="N976" s="2"/>
      <c r="O976" s="14">
        <v>16246</v>
      </c>
      <c r="P976" s="55" t="s">
        <v>2863</v>
      </c>
      <c r="Q976" s="14">
        <v>20110</v>
      </c>
      <c r="R976" s="2"/>
      <c r="S976" s="44">
        <f>[1]!DDIFF(20110,16246)</f>
        <v>-3864</v>
      </c>
      <c r="T976" s="2"/>
      <c r="U976" s="1"/>
      <c r="V976" s="62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</row>
    <row r="977" spans="1:67" x14ac:dyDescent="0.25">
      <c r="A977" t="s">
        <v>2121</v>
      </c>
      <c r="E977" s="42" t="s">
        <v>2122</v>
      </c>
      <c r="F977" s="43" t="s">
        <v>2123</v>
      </c>
      <c r="G977" s="14">
        <v>85107</v>
      </c>
      <c r="H977" s="2"/>
      <c r="I977" s="19"/>
      <c r="J977" s="14">
        <v>0</v>
      </c>
      <c r="K977" s="2"/>
      <c r="L977" s="19"/>
      <c r="M977" s="14">
        <v>0</v>
      </c>
      <c r="N977" s="2"/>
      <c r="O977" s="14">
        <v>85107</v>
      </c>
      <c r="P977" s="55" t="s">
        <v>2863</v>
      </c>
      <c r="Q977" s="14">
        <v>84440</v>
      </c>
      <c r="R977" s="2"/>
      <c r="S977" s="44">
        <f>[1]!DDIFF(84440,85107)</f>
        <v>667</v>
      </c>
      <c r="T977" s="2"/>
      <c r="U977" s="1"/>
      <c r="V977" s="62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</row>
    <row r="978" spans="1:67" hidden="1" x14ac:dyDescent="0.25">
      <c r="A978" t="s">
        <v>2127</v>
      </c>
      <c r="E978" s="42" t="s">
        <v>2128</v>
      </c>
      <c r="F978" s="43" t="s">
        <v>2129</v>
      </c>
      <c r="G978" s="14">
        <v>0</v>
      </c>
      <c r="H978" s="2"/>
      <c r="I978" s="19"/>
      <c r="J978" s="14">
        <v>0</v>
      </c>
      <c r="K978" s="2"/>
      <c r="L978" s="19"/>
      <c r="M978" s="14">
        <v>0</v>
      </c>
      <c r="N978" s="2"/>
      <c r="O978" s="14">
        <v>0</v>
      </c>
      <c r="P978" s="55"/>
      <c r="Q978" s="14">
        <v>0</v>
      </c>
      <c r="R978" s="2"/>
      <c r="S978" s="44">
        <f>[1]!DDIFF(0,0)</f>
        <v>0</v>
      </c>
      <c r="T978" s="2"/>
      <c r="U978" s="1"/>
      <c r="V978" s="62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</row>
    <row r="979" spans="1:67" x14ac:dyDescent="0.25">
      <c r="A979" t="s">
        <v>2130</v>
      </c>
      <c r="E979" s="42" t="s">
        <v>2131</v>
      </c>
      <c r="F979" s="43" t="s">
        <v>2132</v>
      </c>
      <c r="G979" s="14">
        <v>33862</v>
      </c>
      <c r="H979" s="2"/>
      <c r="I979" s="19"/>
      <c r="J979" s="14">
        <v>0</v>
      </c>
      <c r="K979" s="2"/>
      <c r="L979" s="19"/>
      <c r="M979" s="14">
        <v>0</v>
      </c>
      <c r="N979" s="2"/>
      <c r="O979" s="14">
        <v>33862</v>
      </c>
      <c r="P979" s="55" t="s">
        <v>2863</v>
      </c>
      <c r="Q979" s="14">
        <v>16000</v>
      </c>
      <c r="R979" s="2"/>
      <c r="S979" s="44">
        <f>[1]!DDIFF(16000,33862)</f>
        <v>17862</v>
      </c>
      <c r="T979" s="2"/>
      <c r="U979" s="1"/>
      <c r="V979" s="62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</row>
    <row r="980" spans="1:67" collapsed="1" x14ac:dyDescent="0.25">
      <c r="A980" t="s">
        <v>2133</v>
      </c>
      <c r="E980" s="42" t="s">
        <v>2134</v>
      </c>
      <c r="F980" s="43" t="s">
        <v>2135</v>
      </c>
      <c r="G980" s="14">
        <v>64363</v>
      </c>
      <c r="H980" s="2"/>
      <c r="I980" s="19"/>
      <c r="J980" s="14">
        <v>62</v>
      </c>
      <c r="K980" s="2"/>
      <c r="L980" s="19"/>
      <c r="M980" s="14">
        <v>0</v>
      </c>
      <c r="N980" s="2"/>
      <c r="O980" s="14">
        <v>64425</v>
      </c>
      <c r="P980" s="55" t="s">
        <v>2863</v>
      </c>
      <c r="Q980" s="14">
        <v>51731</v>
      </c>
      <c r="R980" s="2"/>
      <c r="S980" s="44">
        <f>[1]!DDIFF(51731,64425)</f>
        <v>12694</v>
      </c>
      <c r="T980" s="2"/>
      <c r="U980" s="1"/>
      <c r="V980" s="62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</row>
    <row r="981" spans="1:67" hidden="1" outlineLevel="1" x14ac:dyDescent="0.25">
      <c r="A981" t="s">
        <v>2715</v>
      </c>
      <c r="E981" s="7"/>
      <c r="F981" s="10"/>
      <c r="G981" s="14"/>
      <c r="H981" s="2"/>
      <c r="I981" s="54" t="s">
        <v>2701</v>
      </c>
      <c r="J981" s="14">
        <v>-2003</v>
      </c>
      <c r="K981" s="2"/>
      <c r="L981" s="19"/>
      <c r="M981" s="14"/>
      <c r="N981" s="2"/>
      <c r="O981" s="14"/>
      <c r="P981" s="55"/>
      <c r="Q981" s="14"/>
      <c r="R981" s="2"/>
      <c r="S981" s="14"/>
      <c r="T981" s="2"/>
      <c r="U981" s="1"/>
      <c r="V981" s="62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</row>
    <row r="982" spans="1:67" hidden="1" outlineLevel="1" x14ac:dyDescent="0.25">
      <c r="A982" t="s">
        <v>2756</v>
      </c>
      <c r="E982" s="7"/>
      <c r="F982" s="10"/>
      <c r="G982" s="14"/>
      <c r="H982" s="2"/>
      <c r="I982" s="54" t="s">
        <v>2736</v>
      </c>
      <c r="J982" s="14">
        <v>2065</v>
      </c>
      <c r="K982" s="2"/>
      <c r="L982" s="19"/>
      <c r="M982" s="14"/>
      <c r="N982" s="2"/>
      <c r="O982" s="14"/>
      <c r="P982" s="55"/>
      <c r="Q982" s="14"/>
      <c r="R982" s="2"/>
      <c r="S982" s="14"/>
      <c r="T982" s="2"/>
      <c r="U982" s="1"/>
      <c r="V982" s="62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</row>
    <row r="983" spans="1:67" hidden="1" x14ac:dyDescent="0.25">
      <c r="A983" t="s">
        <v>2136</v>
      </c>
      <c r="E983" s="42" t="s">
        <v>2137</v>
      </c>
      <c r="F983" s="43" t="s">
        <v>2138</v>
      </c>
      <c r="G983" s="14">
        <v>0</v>
      </c>
      <c r="H983" s="2"/>
      <c r="I983" s="19"/>
      <c r="J983" s="14">
        <v>0</v>
      </c>
      <c r="K983" s="2"/>
      <c r="L983" s="19"/>
      <c r="M983" s="14">
        <v>0</v>
      </c>
      <c r="N983" s="2"/>
      <c r="O983" s="14">
        <v>0</v>
      </c>
      <c r="P983" s="55"/>
      <c r="Q983" s="14">
        <v>0</v>
      </c>
      <c r="R983" s="2"/>
      <c r="S983" s="44">
        <f>[1]!DDIFF(0,0)</f>
        <v>0</v>
      </c>
      <c r="T983" s="2"/>
      <c r="U983" s="1"/>
      <c r="V983" s="62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</row>
    <row r="984" spans="1:67" hidden="1" x14ac:dyDescent="0.25">
      <c r="A984" t="s">
        <v>2139</v>
      </c>
      <c r="E984" s="42" t="s">
        <v>2140</v>
      </c>
      <c r="F984" s="43" t="s">
        <v>2141</v>
      </c>
      <c r="G984" s="14">
        <v>0</v>
      </c>
      <c r="H984" s="2"/>
      <c r="I984" s="19"/>
      <c r="J984" s="14">
        <v>0</v>
      </c>
      <c r="K984" s="2"/>
      <c r="L984" s="19"/>
      <c r="M984" s="14">
        <v>0</v>
      </c>
      <c r="N984" s="2"/>
      <c r="O984" s="14">
        <v>0</v>
      </c>
      <c r="P984" s="55"/>
      <c r="Q984" s="14">
        <v>0</v>
      </c>
      <c r="R984" s="2"/>
      <c r="S984" s="44">
        <f>[1]!DDIFF(0,0)</f>
        <v>0</v>
      </c>
      <c r="T984" s="2"/>
      <c r="U984" s="1"/>
      <c r="V984" s="62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</row>
    <row r="985" spans="1:67" hidden="1" x14ac:dyDescent="0.25">
      <c r="A985" t="s">
        <v>2142</v>
      </c>
      <c r="E985" s="42" t="s">
        <v>2143</v>
      </c>
      <c r="F985" s="43" t="s">
        <v>2144</v>
      </c>
      <c r="G985" s="14">
        <v>0</v>
      </c>
      <c r="H985" s="2"/>
      <c r="I985" s="19"/>
      <c r="J985" s="14">
        <v>0</v>
      </c>
      <c r="K985" s="2"/>
      <c r="L985" s="19"/>
      <c r="M985" s="14">
        <v>0</v>
      </c>
      <c r="N985" s="2"/>
      <c r="O985" s="14">
        <v>0</v>
      </c>
      <c r="P985" s="55"/>
      <c r="Q985" s="14">
        <v>0</v>
      </c>
      <c r="R985" s="2"/>
      <c r="S985" s="44">
        <f>[1]!DDIFF(0,0)</f>
        <v>0</v>
      </c>
      <c r="T985" s="2"/>
      <c r="U985" s="1"/>
      <c r="V985" s="62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</row>
    <row r="986" spans="1:67" collapsed="1" x14ac:dyDescent="0.25">
      <c r="A986" t="s">
        <v>2145</v>
      </c>
      <c r="E986" s="42" t="s">
        <v>2146</v>
      </c>
      <c r="F986" s="43" t="s">
        <v>2147</v>
      </c>
      <c r="G986" s="14">
        <v>59752</v>
      </c>
      <c r="H986" s="2"/>
      <c r="I986" s="19"/>
      <c r="J986" s="14">
        <v>0</v>
      </c>
      <c r="K986" s="2"/>
      <c r="L986" s="19"/>
      <c r="M986" s="14">
        <v>0</v>
      </c>
      <c r="N986" s="2"/>
      <c r="O986" s="14">
        <v>59752</v>
      </c>
      <c r="P986" s="55" t="s">
        <v>2863</v>
      </c>
      <c r="Q986" s="14">
        <v>56190</v>
      </c>
      <c r="R986" s="2"/>
      <c r="S986" s="44">
        <f>[1]!DDIFF(56190,59752)</f>
        <v>3562</v>
      </c>
      <c r="T986" s="2"/>
      <c r="U986" s="1"/>
      <c r="V986" s="62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</row>
    <row r="987" spans="1:67" hidden="1" x14ac:dyDescent="0.25">
      <c r="A987" t="s">
        <v>2148</v>
      </c>
      <c r="E987" s="42" t="s">
        <v>2149</v>
      </c>
      <c r="F987" s="43" t="s">
        <v>2150</v>
      </c>
      <c r="G987" s="14">
        <v>0</v>
      </c>
      <c r="H987" s="2"/>
      <c r="I987" s="19"/>
      <c r="J987" s="14">
        <v>0</v>
      </c>
      <c r="K987" s="2"/>
      <c r="L987" s="19"/>
      <c r="M987" s="14">
        <v>0</v>
      </c>
      <c r="N987" s="2"/>
      <c r="O987" s="14">
        <v>0</v>
      </c>
      <c r="P987" s="55"/>
      <c r="Q987" s="14">
        <v>0</v>
      </c>
      <c r="R987" s="2"/>
      <c r="S987" s="44">
        <f>[1]!DDIFF(0,0)</f>
        <v>0</v>
      </c>
      <c r="T987" s="2"/>
      <c r="U987" s="1"/>
      <c r="V987" s="62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</row>
    <row r="988" spans="1:67" hidden="1" x14ac:dyDescent="0.25">
      <c r="A988" t="s">
        <v>2151</v>
      </c>
      <c r="E988" s="42" t="s">
        <v>2152</v>
      </c>
      <c r="F988" s="43" t="s">
        <v>2153</v>
      </c>
      <c r="G988" s="14">
        <v>0</v>
      </c>
      <c r="H988" s="2"/>
      <c r="I988" s="19"/>
      <c r="J988" s="14">
        <v>0</v>
      </c>
      <c r="K988" s="2"/>
      <c r="L988" s="19"/>
      <c r="M988" s="14">
        <v>0</v>
      </c>
      <c r="N988" s="2"/>
      <c r="O988" s="14">
        <v>0</v>
      </c>
      <c r="P988" s="55"/>
      <c r="Q988" s="14">
        <v>0</v>
      </c>
      <c r="R988" s="2"/>
      <c r="S988" s="44">
        <f>[1]!DDIFF(0,0)</f>
        <v>0</v>
      </c>
      <c r="T988" s="2"/>
      <c r="U988" s="1"/>
      <c r="V988" s="62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</row>
    <row r="989" spans="1:67" hidden="1" x14ac:dyDescent="0.25">
      <c r="A989" t="s">
        <v>2154</v>
      </c>
      <c r="E989" s="42" t="s">
        <v>2155</v>
      </c>
      <c r="F989" s="43" t="s">
        <v>2156</v>
      </c>
      <c r="G989" s="14">
        <v>0</v>
      </c>
      <c r="H989" s="2"/>
      <c r="I989" s="19"/>
      <c r="J989" s="14">
        <v>0</v>
      </c>
      <c r="K989" s="2"/>
      <c r="L989" s="19"/>
      <c r="M989" s="14">
        <v>0</v>
      </c>
      <c r="N989" s="2"/>
      <c r="O989" s="14">
        <v>0</v>
      </c>
      <c r="P989" s="55"/>
      <c r="Q989" s="14">
        <v>0</v>
      </c>
      <c r="R989" s="2"/>
      <c r="S989" s="44">
        <f>[1]!DDIFF(0,0)</f>
        <v>0</v>
      </c>
      <c r="T989" s="2"/>
      <c r="U989" s="1"/>
      <c r="V989" s="62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</row>
    <row r="990" spans="1:67" hidden="1" x14ac:dyDescent="0.25">
      <c r="A990" t="s">
        <v>2157</v>
      </c>
      <c r="E990" s="42" t="s">
        <v>2158</v>
      </c>
      <c r="F990" s="43" t="s">
        <v>2159</v>
      </c>
      <c r="G990" s="14">
        <v>0</v>
      </c>
      <c r="H990" s="2"/>
      <c r="I990" s="19"/>
      <c r="J990" s="14">
        <v>0</v>
      </c>
      <c r="K990" s="2"/>
      <c r="L990" s="19"/>
      <c r="M990" s="14">
        <v>0</v>
      </c>
      <c r="N990" s="2"/>
      <c r="O990" s="14">
        <v>0</v>
      </c>
      <c r="P990" s="55"/>
      <c r="Q990" s="14">
        <v>0</v>
      </c>
      <c r="R990" s="2"/>
      <c r="S990" s="44">
        <f>[1]!DDIFF(0,0)</f>
        <v>0</v>
      </c>
      <c r="T990" s="2"/>
      <c r="U990" s="1"/>
      <c r="V990" s="62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</row>
    <row r="991" spans="1:67" hidden="1" x14ac:dyDescent="0.25">
      <c r="A991" t="s">
        <v>2160</v>
      </c>
      <c r="E991" s="42" t="s">
        <v>2161</v>
      </c>
      <c r="F991" s="43" t="s">
        <v>2162</v>
      </c>
      <c r="G991" s="14">
        <v>0</v>
      </c>
      <c r="H991" s="2"/>
      <c r="I991" s="19"/>
      <c r="J991" s="14">
        <v>0</v>
      </c>
      <c r="K991" s="2"/>
      <c r="L991" s="19"/>
      <c r="M991" s="14">
        <v>0</v>
      </c>
      <c r="N991" s="2"/>
      <c r="O991" s="14">
        <v>0</v>
      </c>
      <c r="P991" s="55"/>
      <c r="Q991" s="14">
        <v>0</v>
      </c>
      <c r="R991" s="2"/>
      <c r="S991" s="44">
        <f>[1]!DDIFF(0,0)</f>
        <v>0</v>
      </c>
      <c r="T991" s="2"/>
      <c r="U991" s="1"/>
      <c r="V991" s="62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</row>
    <row r="992" spans="1:67" hidden="1" x14ac:dyDescent="0.25">
      <c r="A992" t="s">
        <v>2163</v>
      </c>
      <c r="E992" s="42" t="s">
        <v>2164</v>
      </c>
      <c r="F992" s="43" t="s">
        <v>2165</v>
      </c>
      <c r="G992" s="14">
        <v>0</v>
      </c>
      <c r="H992" s="2"/>
      <c r="I992" s="19"/>
      <c r="J992" s="14">
        <v>0</v>
      </c>
      <c r="K992" s="2"/>
      <c r="L992" s="19"/>
      <c r="M992" s="14">
        <v>0</v>
      </c>
      <c r="N992" s="2"/>
      <c r="O992" s="14">
        <v>0</v>
      </c>
      <c r="P992" s="55"/>
      <c r="Q992" s="14">
        <v>0</v>
      </c>
      <c r="R992" s="2"/>
      <c r="S992" s="44">
        <f>[1]!DDIFF(0,0)</f>
        <v>0</v>
      </c>
      <c r="T992" s="2"/>
      <c r="U992" s="1"/>
      <c r="V992" s="62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</row>
    <row r="993" spans="1:67" hidden="1" x14ac:dyDescent="0.25">
      <c r="A993" t="s">
        <v>2166</v>
      </c>
      <c r="E993" s="42" t="s">
        <v>2167</v>
      </c>
      <c r="F993" s="43" t="s">
        <v>2168</v>
      </c>
      <c r="G993" s="14">
        <v>0</v>
      </c>
      <c r="H993" s="2"/>
      <c r="I993" s="19"/>
      <c r="J993" s="14">
        <v>0</v>
      </c>
      <c r="K993" s="2"/>
      <c r="L993" s="19"/>
      <c r="M993" s="14">
        <v>0</v>
      </c>
      <c r="N993" s="2"/>
      <c r="O993" s="14">
        <v>0</v>
      </c>
      <c r="P993" s="55"/>
      <c r="Q993" s="14">
        <v>0</v>
      </c>
      <c r="R993" s="2"/>
      <c r="S993" s="44">
        <f>[1]!DDIFF(0,0)</f>
        <v>0</v>
      </c>
      <c r="T993" s="2"/>
      <c r="U993" s="1"/>
      <c r="V993" s="62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</row>
    <row r="994" spans="1:67" hidden="1" x14ac:dyDescent="0.25">
      <c r="A994" t="s">
        <v>2169</v>
      </c>
      <c r="E994" s="42" t="s">
        <v>2170</v>
      </c>
      <c r="F994" s="43" t="s">
        <v>2171</v>
      </c>
      <c r="G994" s="14">
        <v>0</v>
      </c>
      <c r="H994" s="2"/>
      <c r="I994" s="19"/>
      <c r="J994" s="14">
        <v>0</v>
      </c>
      <c r="K994" s="2"/>
      <c r="L994" s="19"/>
      <c r="M994" s="14">
        <v>0</v>
      </c>
      <c r="N994" s="2"/>
      <c r="O994" s="14">
        <v>0</v>
      </c>
      <c r="P994" s="55"/>
      <c r="Q994" s="14">
        <v>0</v>
      </c>
      <c r="R994" s="2"/>
      <c r="S994" s="44">
        <f>[1]!DDIFF(0,0)</f>
        <v>0</v>
      </c>
      <c r="T994" s="2"/>
      <c r="U994" s="1"/>
      <c r="V994" s="62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</row>
    <row r="995" spans="1:67" hidden="1" x14ac:dyDescent="0.25">
      <c r="A995" t="s">
        <v>2172</v>
      </c>
      <c r="E995" s="42" t="s">
        <v>2173</v>
      </c>
      <c r="F995" s="43" t="s">
        <v>2174</v>
      </c>
      <c r="G995" s="14">
        <v>0</v>
      </c>
      <c r="H995" s="2"/>
      <c r="I995" s="19"/>
      <c r="J995" s="14">
        <v>0</v>
      </c>
      <c r="K995" s="2"/>
      <c r="L995" s="19"/>
      <c r="M995" s="14">
        <v>0</v>
      </c>
      <c r="N995" s="2"/>
      <c r="O995" s="14">
        <v>0</v>
      </c>
      <c r="P995" s="55"/>
      <c r="Q995" s="14">
        <v>0</v>
      </c>
      <c r="R995" s="2"/>
      <c r="S995" s="44">
        <f>[1]!DDIFF(0,0)</f>
        <v>0</v>
      </c>
      <c r="T995" s="2"/>
      <c r="U995" s="1"/>
      <c r="V995" s="62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</row>
    <row r="996" spans="1:67" hidden="1" x14ac:dyDescent="0.25">
      <c r="A996" t="s">
        <v>2175</v>
      </c>
      <c r="E996" s="42" t="s">
        <v>2176</v>
      </c>
      <c r="F996" s="43" t="s">
        <v>2177</v>
      </c>
      <c r="G996" s="14">
        <v>0</v>
      </c>
      <c r="H996" s="2"/>
      <c r="I996" s="19"/>
      <c r="J996" s="14">
        <v>0</v>
      </c>
      <c r="K996" s="2"/>
      <c r="L996" s="19"/>
      <c r="M996" s="14">
        <v>0</v>
      </c>
      <c r="N996" s="2"/>
      <c r="O996" s="14">
        <v>0</v>
      </c>
      <c r="P996" s="55"/>
      <c r="Q996" s="14">
        <v>0</v>
      </c>
      <c r="R996" s="2"/>
      <c r="S996" s="44">
        <f>[1]!DDIFF(0,0)</f>
        <v>0</v>
      </c>
      <c r="T996" s="2"/>
      <c r="U996" s="1"/>
      <c r="V996" s="62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</row>
    <row r="997" spans="1:67" hidden="1" x14ac:dyDescent="0.25">
      <c r="A997" t="s">
        <v>2178</v>
      </c>
      <c r="E997" s="42" t="s">
        <v>2179</v>
      </c>
      <c r="F997" s="43" t="s">
        <v>2180</v>
      </c>
      <c r="G997" s="14">
        <v>0</v>
      </c>
      <c r="H997" s="2"/>
      <c r="I997" s="19"/>
      <c r="J997" s="14">
        <v>0</v>
      </c>
      <c r="K997" s="2"/>
      <c r="L997" s="19"/>
      <c r="M997" s="14">
        <v>0</v>
      </c>
      <c r="N997" s="2"/>
      <c r="O997" s="14">
        <v>0</v>
      </c>
      <c r="P997" s="55"/>
      <c r="Q997" s="14">
        <v>0</v>
      </c>
      <c r="R997" s="2"/>
      <c r="S997" s="44">
        <f>[1]!DDIFF(0,0)</f>
        <v>0</v>
      </c>
      <c r="T997" s="2"/>
      <c r="U997" s="1"/>
      <c r="V997" s="62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</row>
    <row r="998" spans="1:67" hidden="1" x14ac:dyDescent="0.25">
      <c r="A998" t="s">
        <v>2181</v>
      </c>
      <c r="E998" s="42" t="s">
        <v>2182</v>
      </c>
      <c r="F998" s="43" t="s">
        <v>2183</v>
      </c>
      <c r="G998" s="14">
        <v>0</v>
      </c>
      <c r="H998" s="2"/>
      <c r="I998" s="19"/>
      <c r="J998" s="14">
        <v>0</v>
      </c>
      <c r="K998" s="2"/>
      <c r="L998" s="19"/>
      <c r="M998" s="14">
        <v>0</v>
      </c>
      <c r="N998" s="2"/>
      <c r="O998" s="14">
        <v>0</v>
      </c>
      <c r="P998" s="55"/>
      <c r="Q998" s="14">
        <v>0</v>
      </c>
      <c r="R998" s="2"/>
      <c r="S998" s="44">
        <f>[1]!DDIFF(0,0)</f>
        <v>0</v>
      </c>
      <c r="T998" s="2"/>
      <c r="U998" s="1"/>
      <c r="V998" s="62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</row>
    <row r="999" spans="1:67" hidden="1" x14ac:dyDescent="0.25">
      <c r="A999" t="s">
        <v>2184</v>
      </c>
      <c r="E999" s="42" t="s">
        <v>2185</v>
      </c>
      <c r="F999" s="43" t="s">
        <v>2186</v>
      </c>
      <c r="G999" s="14">
        <v>0</v>
      </c>
      <c r="H999" s="2"/>
      <c r="I999" s="19"/>
      <c r="J999" s="14">
        <v>0</v>
      </c>
      <c r="K999" s="2"/>
      <c r="L999" s="19"/>
      <c r="M999" s="14">
        <v>0</v>
      </c>
      <c r="N999" s="2"/>
      <c r="O999" s="14">
        <v>0</v>
      </c>
      <c r="P999" s="55"/>
      <c r="Q999" s="14">
        <v>0</v>
      </c>
      <c r="R999" s="2"/>
      <c r="S999" s="44">
        <f>[1]!DDIFF(0,0)</f>
        <v>0</v>
      </c>
      <c r="T999" s="2"/>
      <c r="U999" s="1"/>
      <c r="V999" s="62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</row>
    <row r="1000" spans="1:67" collapsed="1" x14ac:dyDescent="0.25">
      <c r="A1000" t="s">
        <v>2187</v>
      </c>
      <c r="E1000" s="42" t="s">
        <v>2188</v>
      </c>
      <c r="F1000" s="43" t="s">
        <v>2189</v>
      </c>
      <c r="G1000" s="14">
        <v>10783</v>
      </c>
      <c r="H1000" s="2"/>
      <c r="I1000" s="19"/>
      <c r="J1000" s="14">
        <v>0</v>
      </c>
      <c r="K1000" s="2"/>
      <c r="L1000" s="19"/>
      <c r="M1000" s="14">
        <v>12286</v>
      </c>
      <c r="N1000" s="2"/>
      <c r="O1000" s="14">
        <v>23069</v>
      </c>
      <c r="P1000" s="55" t="s">
        <v>2863</v>
      </c>
      <c r="Q1000" s="14">
        <v>10951</v>
      </c>
      <c r="R1000" s="2"/>
      <c r="S1000" s="44">
        <f>[1]!DDIFF(10951,23069)</f>
        <v>12118</v>
      </c>
      <c r="T1000" s="2"/>
      <c r="U1000" s="1"/>
      <c r="V1000" s="62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</row>
    <row r="1001" spans="1:67" hidden="1" outlineLevel="1" x14ac:dyDescent="0.25">
      <c r="A1001" t="s">
        <v>2854</v>
      </c>
      <c r="E1001" s="7"/>
      <c r="F1001" s="10"/>
      <c r="G1001" s="14"/>
      <c r="H1001" s="2"/>
      <c r="I1001" s="19"/>
      <c r="J1001" s="14"/>
      <c r="K1001" s="2"/>
      <c r="L1001" s="54" t="s">
        <v>2840</v>
      </c>
      <c r="M1001" s="14">
        <v>12286</v>
      </c>
      <c r="N1001" s="2"/>
      <c r="O1001" s="14"/>
      <c r="P1001" s="55"/>
      <c r="Q1001" s="14"/>
      <c r="R1001" s="2"/>
      <c r="S1001" s="14"/>
      <c r="T1001" s="2"/>
      <c r="U1001" s="1"/>
      <c r="V1001" s="62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  <c r="AZ1001" s="1"/>
      <c r="BA1001" s="1"/>
      <c r="BB1001" s="1"/>
      <c r="BC1001" s="1"/>
      <c r="BD1001" s="1"/>
      <c r="BE1001" s="1"/>
      <c r="BF1001" s="1"/>
      <c r="BG1001" s="1"/>
      <c r="BH1001" s="1"/>
      <c r="BI1001" s="1"/>
      <c r="BJ1001" s="1"/>
      <c r="BK1001" s="1"/>
      <c r="BL1001" s="1"/>
      <c r="BM1001" s="1"/>
      <c r="BN1001" s="1"/>
      <c r="BO1001" s="1"/>
    </row>
    <row r="1002" spans="1:67" collapsed="1" x14ac:dyDescent="0.25">
      <c r="A1002" t="s">
        <v>2193</v>
      </c>
      <c r="E1002" s="42" t="s">
        <v>2194</v>
      </c>
      <c r="F1002" s="43" t="s">
        <v>2195</v>
      </c>
      <c r="G1002" s="14">
        <v>20078</v>
      </c>
      <c r="H1002" s="2"/>
      <c r="I1002" s="19"/>
      <c r="J1002" s="14">
        <v>1547</v>
      </c>
      <c r="K1002" s="2"/>
      <c r="L1002" s="19"/>
      <c r="M1002" s="14">
        <v>0</v>
      </c>
      <c r="N1002" s="2"/>
      <c r="O1002" s="14">
        <v>21625</v>
      </c>
      <c r="P1002" s="55" t="s">
        <v>2863</v>
      </c>
      <c r="Q1002" s="14">
        <v>18440</v>
      </c>
      <c r="R1002" s="2"/>
      <c r="S1002" s="44">
        <f>[1]!DDIFF(18440,21625)</f>
        <v>3185</v>
      </c>
      <c r="T1002" s="2"/>
      <c r="U1002" s="1"/>
      <c r="V1002" s="62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  <c r="AZ1002" s="1"/>
      <c r="BA1002" s="1"/>
      <c r="BB1002" s="1"/>
      <c r="BC1002" s="1"/>
      <c r="BD1002" s="1"/>
      <c r="BE1002" s="1"/>
      <c r="BF1002" s="1"/>
      <c r="BG1002" s="1"/>
      <c r="BH1002" s="1"/>
      <c r="BI1002" s="1"/>
      <c r="BJ1002" s="1"/>
      <c r="BK1002" s="1"/>
      <c r="BL1002" s="1"/>
      <c r="BM1002" s="1"/>
      <c r="BN1002" s="1"/>
      <c r="BO1002" s="1"/>
    </row>
    <row r="1003" spans="1:67" hidden="1" outlineLevel="1" x14ac:dyDescent="0.25">
      <c r="A1003" t="s">
        <v>2716</v>
      </c>
      <c r="E1003" s="7"/>
      <c r="F1003" s="10"/>
      <c r="G1003" s="14"/>
      <c r="H1003" s="2"/>
      <c r="I1003" s="54" t="s">
        <v>2701</v>
      </c>
      <c r="J1003" s="14">
        <v>-147</v>
      </c>
      <c r="K1003" s="2"/>
      <c r="L1003" s="19"/>
      <c r="M1003" s="14"/>
      <c r="N1003" s="2"/>
      <c r="O1003" s="14"/>
      <c r="P1003" s="55" t="s">
        <v>2863</v>
      </c>
      <c r="Q1003" s="14"/>
      <c r="R1003" s="2"/>
      <c r="S1003" s="14"/>
      <c r="T1003" s="2"/>
      <c r="U1003" s="1"/>
      <c r="V1003" s="62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  <c r="AY1003" s="1"/>
      <c r="AZ1003" s="1"/>
      <c r="BA1003" s="1"/>
      <c r="BB1003" s="1"/>
      <c r="BC1003" s="1"/>
      <c r="BD1003" s="1"/>
      <c r="BE1003" s="1"/>
      <c r="BF1003" s="1"/>
      <c r="BG1003" s="1"/>
      <c r="BH1003" s="1"/>
      <c r="BI1003" s="1"/>
      <c r="BJ1003" s="1"/>
      <c r="BK1003" s="1"/>
      <c r="BL1003" s="1"/>
      <c r="BM1003" s="1"/>
      <c r="BN1003" s="1"/>
      <c r="BO1003" s="1"/>
    </row>
    <row r="1004" spans="1:67" hidden="1" outlineLevel="1" x14ac:dyDescent="0.25">
      <c r="A1004" t="s">
        <v>2757</v>
      </c>
      <c r="E1004" s="7"/>
      <c r="F1004" s="10"/>
      <c r="G1004" s="14"/>
      <c r="H1004" s="2"/>
      <c r="I1004" s="54" t="s">
        <v>2736</v>
      </c>
      <c r="J1004" s="14">
        <v>1694</v>
      </c>
      <c r="K1004" s="2"/>
      <c r="L1004" s="19"/>
      <c r="M1004" s="14"/>
      <c r="N1004" s="2"/>
      <c r="O1004" s="14"/>
      <c r="P1004" s="55" t="s">
        <v>2863</v>
      </c>
      <c r="Q1004" s="14"/>
      <c r="R1004" s="2"/>
      <c r="S1004" s="14"/>
      <c r="T1004" s="2"/>
      <c r="U1004" s="1"/>
      <c r="V1004" s="62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1"/>
      <c r="AY1004" s="1"/>
      <c r="AZ1004" s="1"/>
      <c r="BA1004" s="1"/>
      <c r="BB1004" s="1"/>
      <c r="BC1004" s="1"/>
      <c r="BD1004" s="1"/>
      <c r="BE1004" s="1"/>
      <c r="BF1004" s="1"/>
      <c r="BG1004" s="1"/>
      <c r="BH1004" s="1"/>
      <c r="BI1004" s="1"/>
      <c r="BJ1004" s="1"/>
      <c r="BK1004" s="1"/>
      <c r="BL1004" s="1"/>
      <c r="BM1004" s="1"/>
      <c r="BN1004" s="1"/>
      <c r="BO1004" s="1"/>
    </row>
    <row r="1005" spans="1:67" collapsed="1" x14ac:dyDescent="0.25">
      <c r="A1005" t="s">
        <v>2196</v>
      </c>
      <c r="E1005" s="42" t="s">
        <v>2197</v>
      </c>
      <c r="F1005" s="43" t="s">
        <v>2198</v>
      </c>
      <c r="G1005" s="14">
        <v>13531</v>
      </c>
      <c r="H1005" s="2"/>
      <c r="I1005" s="19"/>
      <c r="J1005" s="14">
        <v>-864</v>
      </c>
      <c r="K1005" s="2"/>
      <c r="L1005" s="19"/>
      <c r="M1005" s="14">
        <v>0</v>
      </c>
      <c r="N1005" s="2"/>
      <c r="O1005" s="14">
        <v>12667</v>
      </c>
      <c r="P1005" s="55" t="s">
        <v>2863</v>
      </c>
      <c r="Q1005" s="14">
        <v>12969</v>
      </c>
      <c r="R1005" s="2"/>
      <c r="S1005" s="44">
        <f>[1]!DDIFF(12969,12667)</f>
        <v>-302</v>
      </c>
      <c r="T1005" s="2"/>
      <c r="U1005" s="1"/>
      <c r="V1005" s="62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1"/>
      <c r="AY1005" s="1"/>
      <c r="AZ1005" s="1"/>
      <c r="BA1005" s="1"/>
      <c r="BB1005" s="1"/>
      <c r="BC1005" s="1"/>
      <c r="BD1005" s="1"/>
      <c r="BE1005" s="1"/>
      <c r="BF1005" s="1"/>
      <c r="BG1005" s="1"/>
      <c r="BH1005" s="1"/>
      <c r="BI1005" s="1"/>
      <c r="BJ1005" s="1"/>
      <c r="BK1005" s="1"/>
      <c r="BL1005" s="1"/>
      <c r="BM1005" s="1"/>
      <c r="BN1005" s="1"/>
      <c r="BO1005" s="1"/>
    </row>
    <row r="1006" spans="1:67" hidden="1" outlineLevel="1" x14ac:dyDescent="0.25">
      <c r="A1006" t="s">
        <v>2717</v>
      </c>
      <c r="E1006" s="7"/>
      <c r="F1006" s="10"/>
      <c r="G1006" s="14"/>
      <c r="H1006" s="2"/>
      <c r="I1006" s="54" t="s">
        <v>2701</v>
      </c>
      <c r="J1006" s="14">
        <v>-864</v>
      </c>
      <c r="K1006" s="2"/>
      <c r="L1006" s="19"/>
      <c r="M1006" s="14"/>
      <c r="N1006" s="2"/>
      <c r="O1006" s="14"/>
      <c r="P1006" s="55" t="s">
        <v>2863</v>
      </c>
      <c r="Q1006" s="14"/>
      <c r="R1006" s="2"/>
      <c r="S1006" s="14"/>
      <c r="T1006" s="2"/>
      <c r="U1006" s="1"/>
      <c r="V1006" s="62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1"/>
      <c r="AY1006" s="1"/>
      <c r="AZ1006" s="1"/>
      <c r="BA1006" s="1"/>
      <c r="BB1006" s="1"/>
      <c r="BC1006" s="1"/>
      <c r="BD1006" s="1"/>
      <c r="BE1006" s="1"/>
      <c r="BF1006" s="1"/>
      <c r="BG1006" s="1"/>
      <c r="BH1006" s="1"/>
      <c r="BI1006" s="1"/>
      <c r="BJ1006" s="1"/>
      <c r="BK1006" s="1"/>
      <c r="BL1006" s="1"/>
      <c r="BM1006" s="1"/>
      <c r="BN1006" s="1"/>
      <c r="BO1006" s="1"/>
    </row>
    <row r="1007" spans="1:67" hidden="1" x14ac:dyDescent="0.25">
      <c r="A1007" t="s">
        <v>2199</v>
      </c>
      <c r="E1007" s="42" t="s">
        <v>2200</v>
      </c>
      <c r="F1007" s="43" t="s">
        <v>2201</v>
      </c>
      <c r="G1007" s="14">
        <v>0</v>
      </c>
      <c r="H1007" s="2"/>
      <c r="I1007" s="19"/>
      <c r="J1007" s="14">
        <v>0</v>
      </c>
      <c r="K1007" s="2"/>
      <c r="L1007" s="19"/>
      <c r="M1007" s="14">
        <v>0</v>
      </c>
      <c r="N1007" s="2"/>
      <c r="O1007" s="14">
        <v>0</v>
      </c>
      <c r="P1007" s="55" t="s">
        <v>2863</v>
      </c>
      <c r="Q1007" s="14">
        <v>0</v>
      </c>
      <c r="R1007" s="2"/>
      <c r="S1007" s="44">
        <f>[1]!DDIFF(0,0)</f>
        <v>0</v>
      </c>
      <c r="T1007" s="2"/>
      <c r="U1007" s="1"/>
      <c r="V1007" s="62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1"/>
      <c r="AY1007" s="1"/>
      <c r="AZ1007" s="1"/>
      <c r="BA1007" s="1"/>
      <c r="BB1007" s="1"/>
      <c r="BC1007" s="1"/>
      <c r="BD1007" s="1"/>
      <c r="BE1007" s="1"/>
      <c r="BF1007" s="1"/>
      <c r="BG1007" s="1"/>
      <c r="BH1007" s="1"/>
      <c r="BI1007" s="1"/>
      <c r="BJ1007" s="1"/>
      <c r="BK1007" s="1"/>
      <c r="BL1007" s="1"/>
      <c r="BM1007" s="1"/>
      <c r="BN1007" s="1"/>
      <c r="BO1007" s="1"/>
    </row>
    <row r="1008" spans="1:67" collapsed="1" x14ac:dyDescent="0.25">
      <c r="A1008" t="s">
        <v>2202</v>
      </c>
      <c r="E1008" s="42" t="s">
        <v>2203</v>
      </c>
      <c r="F1008" s="43" t="s">
        <v>2204</v>
      </c>
      <c r="G1008" s="14">
        <v>8039</v>
      </c>
      <c r="H1008" s="2"/>
      <c r="I1008" s="19"/>
      <c r="J1008" s="14">
        <v>454</v>
      </c>
      <c r="K1008" s="2"/>
      <c r="L1008" s="19"/>
      <c r="M1008" s="14">
        <v>0</v>
      </c>
      <c r="N1008" s="2"/>
      <c r="O1008" s="14">
        <v>8493</v>
      </c>
      <c r="P1008" s="55" t="s">
        <v>2863</v>
      </c>
      <c r="Q1008" s="14">
        <v>8254</v>
      </c>
      <c r="R1008" s="2"/>
      <c r="S1008" s="44">
        <f>[1]!DDIFF(8254,8493)</f>
        <v>239</v>
      </c>
      <c r="T1008" s="2"/>
      <c r="U1008" s="1"/>
      <c r="V1008" s="62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1"/>
      <c r="AY1008" s="1"/>
      <c r="AZ1008" s="1"/>
      <c r="BA1008" s="1"/>
      <c r="BB1008" s="1"/>
      <c r="BC1008" s="1"/>
      <c r="BD1008" s="1"/>
      <c r="BE1008" s="1"/>
      <c r="BF1008" s="1"/>
      <c r="BG1008" s="1"/>
      <c r="BH1008" s="1"/>
      <c r="BI1008" s="1"/>
      <c r="BJ1008" s="1"/>
      <c r="BK1008" s="1"/>
      <c r="BL1008" s="1"/>
      <c r="BM1008" s="1"/>
      <c r="BN1008" s="1"/>
      <c r="BO1008" s="1"/>
    </row>
    <row r="1009" spans="1:67" hidden="1" outlineLevel="1" x14ac:dyDescent="0.25">
      <c r="A1009" t="s">
        <v>2758</v>
      </c>
      <c r="E1009" s="7"/>
      <c r="F1009" s="10"/>
      <c r="G1009" s="14"/>
      <c r="H1009" s="2"/>
      <c r="I1009" s="54" t="s">
        <v>2736</v>
      </c>
      <c r="J1009" s="14">
        <v>454</v>
      </c>
      <c r="K1009" s="2"/>
      <c r="L1009" s="19"/>
      <c r="M1009" s="14"/>
      <c r="N1009" s="2"/>
      <c r="O1009" s="14"/>
      <c r="P1009" s="55" t="s">
        <v>2863</v>
      </c>
      <c r="Q1009" s="14"/>
      <c r="R1009" s="2"/>
      <c r="S1009" s="14"/>
      <c r="T1009" s="2"/>
      <c r="U1009" s="1"/>
      <c r="V1009" s="62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1"/>
      <c r="AS1009" s="1"/>
      <c r="AT1009" s="1"/>
      <c r="AU1009" s="1"/>
      <c r="AV1009" s="1"/>
      <c r="AW1009" s="1"/>
      <c r="AX1009" s="1"/>
      <c r="AY1009" s="1"/>
      <c r="AZ1009" s="1"/>
      <c r="BA1009" s="1"/>
      <c r="BB1009" s="1"/>
      <c r="BC1009" s="1"/>
      <c r="BD1009" s="1"/>
      <c r="BE1009" s="1"/>
      <c r="BF1009" s="1"/>
      <c r="BG1009" s="1"/>
      <c r="BH1009" s="1"/>
      <c r="BI1009" s="1"/>
      <c r="BJ1009" s="1"/>
      <c r="BK1009" s="1"/>
      <c r="BL1009" s="1"/>
      <c r="BM1009" s="1"/>
      <c r="BN1009" s="1"/>
      <c r="BO1009" s="1"/>
    </row>
    <row r="1010" spans="1:67" x14ac:dyDescent="0.25">
      <c r="A1010" t="s">
        <v>2205</v>
      </c>
      <c r="E1010" s="42" t="s">
        <v>2206</v>
      </c>
      <c r="F1010" s="43" t="s">
        <v>2207</v>
      </c>
      <c r="G1010" s="14">
        <v>8722</v>
      </c>
      <c r="H1010" s="2"/>
      <c r="I1010" s="19"/>
      <c r="J1010" s="14">
        <v>0</v>
      </c>
      <c r="K1010" s="2"/>
      <c r="L1010" s="19"/>
      <c r="M1010" s="14">
        <v>0</v>
      </c>
      <c r="N1010" s="2"/>
      <c r="O1010" s="14">
        <v>8722</v>
      </c>
      <c r="P1010" s="55" t="s">
        <v>2863</v>
      </c>
      <c r="Q1010" s="14">
        <v>10241</v>
      </c>
      <c r="R1010" s="2"/>
      <c r="S1010" s="44">
        <f>[1]!DDIFF(10241,8722)</f>
        <v>-1519</v>
      </c>
      <c r="T1010" s="2"/>
      <c r="U1010" s="1"/>
      <c r="V1010" s="62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1"/>
      <c r="AS1010" s="1"/>
      <c r="AT1010" s="1"/>
      <c r="AU1010" s="1"/>
      <c r="AV1010" s="1"/>
      <c r="AW1010" s="1"/>
      <c r="AX1010" s="1"/>
      <c r="AY1010" s="1"/>
      <c r="AZ1010" s="1"/>
      <c r="BA1010" s="1"/>
      <c r="BB1010" s="1"/>
      <c r="BC1010" s="1"/>
      <c r="BD1010" s="1"/>
      <c r="BE1010" s="1"/>
      <c r="BF1010" s="1"/>
      <c r="BG1010" s="1"/>
      <c r="BH1010" s="1"/>
      <c r="BI1010" s="1"/>
      <c r="BJ1010" s="1"/>
      <c r="BK1010" s="1"/>
      <c r="BL1010" s="1"/>
      <c r="BM1010" s="1"/>
      <c r="BN1010" s="1"/>
      <c r="BO1010" s="1"/>
    </row>
    <row r="1011" spans="1:67" collapsed="1" x14ac:dyDescent="0.25">
      <c r="A1011" t="s">
        <v>2208</v>
      </c>
      <c r="E1011" s="42" t="s">
        <v>2209</v>
      </c>
      <c r="F1011" s="43" t="s">
        <v>2210</v>
      </c>
      <c r="G1011" s="14">
        <v>13004</v>
      </c>
      <c r="H1011" s="2"/>
      <c r="I1011" s="19"/>
      <c r="J1011" s="14">
        <v>1057</v>
      </c>
      <c r="K1011" s="2"/>
      <c r="L1011" s="19"/>
      <c r="M1011" s="14">
        <v>0</v>
      </c>
      <c r="N1011" s="2"/>
      <c r="O1011" s="14">
        <v>14061</v>
      </c>
      <c r="P1011" s="55" t="s">
        <v>2863</v>
      </c>
      <c r="Q1011" s="14">
        <v>12015</v>
      </c>
      <c r="R1011" s="2"/>
      <c r="S1011" s="44">
        <f>[1]!DDIFF(12015,14061)</f>
        <v>2046</v>
      </c>
      <c r="T1011" s="2"/>
      <c r="U1011" s="1"/>
      <c r="V1011" s="62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1"/>
      <c r="AS1011" s="1"/>
      <c r="AT1011" s="1"/>
      <c r="AU1011" s="1"/>
      <c r="AV1011" s="1"/>
      <c r="AW1011" s="1"/>
      <c r="AX1011" s="1"/>
      <c r="AY1011" s="1"/>
      <c r="AZ1011" s="1"/>
      <c r="BA1011" s="1"/>
      <c r="BB1011" s="1"/>
      <c r="BC1011" s="1"/>
      <c r="BD1011" s="1"/>
      <c r="BE1011" s="1"/>
      <c r="BF1011" s="1"/>
      <c r="BG1011" s="1"/>
      <c r="BH1011" s="1"/>
      <c r="BI1011" s="1"/>
      <c r="BJ1011" s="1"/>
      <c r="BK1011" s="1"/>
      <c r="BL1011" s="1"/>
      <c r="BM1011" s="1"/>
      <c r="BN1011" s="1"/>
      <c r="BO1011" s="1"/>
    </row>
    <row r="1012" spans="1:67" hidden="1" outlineLevel="1" x14ac:dyDescent="0.25">
      <c r="A1012" t="s">
        <v>2759</v>
      </c>
      <c r="E1012" s="7"/>
      <c r="F1012" s="10"/>
      <c r="G1012" s="14"/>
      <c r="H1012" s="2"/>
      <c r="I1012" s="54" t="s">
        <v>2736</v>
      </c>
      <c r="J1012" s="14">
        <v>1057</v>
      </c>
      <c r="K1012" s="2"/>
      <c r="L1012" s="19"/>
      <c r="M1012" s="14"/>
      <c r="N1012" s="2"/>
      <c r="O1012" s="14"/>
      <c r="P1012" s="55" t="s">
        <v>2863</v>
      </c>
      <c r="Q1012" s="14"/>
      <c r="R1012" s="2"/>
      <c r="S1012" s="14"/>
      <c r="T1012" s="2"/>
      <c r="U1012" s="1"/>
      <c r="V1012" s="62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  <c r="AL1012" s="1"/>
      <c r="AM1012" s="1"/>
      <c r="AN1012" s="1"/>
      <c r="AO1012" s="1"/>
      <c r="AP1012" s="1"/>
      <c r="AQ1012" s="1"/>
      <c r="AR1012" s="1"/>
      <c r="AS1012" s="1"/>
      <c r="AT1012" s="1"/>
      <c r="AU1012" s="1"/>
      <c r="AV1012" s="1"/>
      <c r="AW1012" s="1"/>
      <c r="AX1012" s="1"/>
      <c r="AY1012" s="1"/>
      <c r="AZ1012" s="1"/>
      <c r="BA1012" s="1"/>
      <c r="BB1012" s="1"/>
      <c r="BC1012" s="1"/>
      <c r="BD1012" s="1"/>
      <c r="BE1012" s="1"/>
      <c r="BF1012" s="1"/>
      <c r="BG1012" s="1"/>
      <c r="BH1012" s="1"/>
      <c r="BI1012" s="1"/>
      <c r="BJ1012" s="1"/>
      <c r="BK1012" s="1"/>
      <c r="BL1012" s="1"/>
      <c r="BM1012" s="1"/>
      <c r="BN1012" s="1"/>
      <c r="BO1012" s="1"/>
    </row>
    <row r="1013" spans="1:67" collapsed="1" x14ac:dyDescent="0.25">
      <c r="A1013" t="s">
        <v>2211</v>
      </c>
      <c r="E1013" s="42" t="s">
        <v>2212</v>
      </c>
      <c r="F1013" s="43" t="s">
        <v>2213</v>
      </c>
      <c r="G1013" s="14">
        <v>4104</v>
      </c>
      <c r="H1013" s="2"/>
      <c r="I1013" s="19"/>
      <c r="J1013" s="14">
        <v>162</v>
      </c>
      <c r="K1013" s="2"/>
      <c r="L1013" s="19"/>
      <c r="M1013" s="14">
        <v>0</v>
      </c>
      <c r="N1013" s="2"/>
      <c r="O1013" s="14">
        <v>4266</v>
      </c>
      <c r="P1013" s="55" t="s">
        <v>2863</v>
      </c>
      <c r="Q1013" s="14">
        <v>3841</v>
      </c>
      <c r="R1013" s="2"/>
      <c r="S1013" s="44">
        <f>[1]!DDIFF(3841,4266)</f>
        <v>425</v>
      </c>
      <c r="T1013" s="2"/>
      <c r="U1013" s="1"/>
      <c r="V1013" s="62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1"/>
      <c r="AS1013" s="1"/>
      <c r="AT1013" s="1"/>
      <c r="AU1013" s="1"/>
      <c r="AV1013" s="1"/>
      <c r="AW1013" s="1"/>
      <c r="AX1013" s="1"/>
      <c r="AY1013" s="1"/>
      <c r="AZ1013" s="1"/>
      <c r="BA1013" s="1"/>
      <c r="BB1013" s="1"/>
      <c r="BC1013" s="1"/>
      <c r="BD1013" s="1"/>
      <c r="BE1013" s="1"/>
      <c r="BF1013" s="1"/>
      <c r="BG1013" s="1"/>
      <c r="BH1013" s="1"/>
      <c r="BI1013" s="1"/>
      <c r="BJ1013" s="1"/>
      <c r="BK1013" s="1"/>
      <c r="BL1013" s="1"/>
      <c r="BM1013" s="1"/>
      <c r="BN1013" s="1"/>
      <c r="BO1013" s="1"/>
    </row>
    <row r="1014" spans="1:67" hidden="1" outlineLevel="1" x14ac:dyDescent="0.25">
      <c r="A1014" t="s">
        <v>2760</v>
      </c>
      <c r="E1014" s="7"/>
      <c r="F1014" s="10"/>
      <c r="G1014" s="14"/>
      <c r="H1014" s="2"/>
      <c r="I1014" s="54" t="s">
        <v>2736</v>
      </c>
      <c r="J1014" s="14">
        <v>162</v>
      </c>
      <c r="K1014" s="2"/>
      <c r="L1014" s="19"/>
      <c r="M1014" s="14"/>
      <c r="N1014" s="2"/>
      <c r="O1014" s="14"/>
      <c r="P1014" s="55" t="s">
        <v>2863</v>
      </c>
      <c r="Q1014" s="14"/>
      <c r="R1014" s="2"/>
      <c r="S1014" s="14"/>
      <c r="T1014" s="2"/>
      <c r="U1014" s="1"/>
      <c r="V1014" s="62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1"/>
      <c r="AS1014" s="1"/>
      <c r="AT1014" s="1"/>
      <c r="AU1014" s="1"/>
      <c r="AV1014" s="1"/>
      <c r="AW1014" s="1"/>
      <c r="AX1014" s="1"/>
      <c r="AY1014" s="1"/>
      <c r="AZ1014" s="1"/>
      <c r="BA1014" s="1"/>
      <c r="BB1014" s="1"/>
      <c r="BC1014" s="1"/>
      <c r="BD1014" s="1"/>
      <c r="BE1014" s="1"/>
      <c r="BF1014" s="1"/>
      <c r="BG1014" s="1"/>
      <c r="BH1014" s="1"/>
      <c r="BI1014" s="1"/>
      <c r="BJ1014" s="1"/>
      <c r="BK1014" s="1"/>
      <c r="BL1014" s="1"/>
      <c r="BM1014" s="1"/>
      <c r="BN1014" s="1"/>
      <c r="BO1014" s="1"/>
    </row>
    <row r="1015" spans="1:67" collapsed="1" x14ac:dyDescent="0.25">
      <c r="A1015" t="s">
        <v>2214</v>
      </c>
      <c r="E1015" s="42" t="s">
        <v>2215</v>
      </c>
      <c r="F1015" s="43" t="s">
        <v>2216</v>
      </c>
      <c r="G1015" s="14">
        <v>0</v>
      </c>
      <c r="H1015" s="2"/>
      <c r="I1015" s="19"/>
      <c r="J1015" s="14">
        <v>4979</v>
      </c>
      <c r="K1015" s="2"/>
      <c r="L1015" s="19"/>
      <c r="M1015" s="14">
        <v>0</v>
      </c>
      <c r="N1015" s="2"/>
      <c r="O1015" s="14">
        <v>4979</v>
      </c>
      <c r="P1015" s="55" t="s">
        <v>2863</v>
      </c>
      <c r="Q1015" s="14">
        <v>48087</v>
      </c>
      <c r="R1015" s="2"/>
      <c r="S1015" s="44">
        <f>[1]!DDIFF(48087,4979)</f>
        <v>-43108</v>
      </c>
      <c r="T1015" s="2"/>
      <c r="U1015" s="1"/>
      <c r="V1015" s="62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1"/>
      <c r="AS1015" s="1"/>
      <c r="AT1015" s="1"/>
      <c r="AU1015" s="1"/>
      <c r="AV1015" s="1"/>
      <c r="AW1015" s="1"/>
      <c r="AX1015" s="1"/>
      <c r="AY1015" s="1"/>
      <c r="AZ1015" s="1"/>
      <c r="BA1015" s="1"/>
      <c r="BB1015" s="1"/>
      <c r="BC1015" s="1"/>
      <c r="BD1015" s="1"/>
      <c r="BE1015" s="1"/>
      <c r="BF1015" s="1"/>
      <c r="BG1015" s="1"/>
      <c r="BH1015" s="1"/>
      <c r="BI1015" s="1"/>
      <c r="BJ1015" s="1"/>
      <c r="BK1015" s="1"/>
      <c r="BL1015" s="1"/>
      <c r="BM1015" s="1"/>
      <c r="BN1015" s="1"/>
      <c r="BO1015" s="1"/>
    </row>
    <row r="1016" spans="1:67" hidden="1" outlineLevel="1" x14ac:dyDescent="0.25">
      <c r="A1016" t="s">
        <v>2718</v>
      </c>
      <c r="E1016" s="7"/>
      <c r="F1016" s="10"/>
      <c r="G1016" s="14"/>
      <c r="H1016" s="2"/>
      <c r="I1016" s="54" t="s">
        <v>2701</v>
      </c>
      <c r="J1016" s="14">
        <v>-48087</v>
      </c>
      <c r="K1016" s="2"/>
      <c r="L1016" s="19"/>
      <c r="M1016" s="14"/>
      <c r="N1016" s="2"/>
      <c r="O1016" s="14"/>
      <c r="P1016" s="55" t="s">
        <v>2863</v>
      </c>
      <c r="Q1016" s="14"/>
      <c r="R1016" s="2"/>
      <c r="S1016" s="14"/>
      <c r="T1016" s="2"/>
      <c r="U1016" s="1"/>
      <c r="V1016" s="62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1"/>
      <c r="AS1016" s="1"/>
      <c r="AT1016" s="1"/>
      <c r="AU1016" s="1"/>
      <c r="AV1016" s="1"/>
      <c r="AW1016" s="1"/>
      <c r="AX1016" s="1"/>
      <c r="AY1016" s="1"/>
      <c r="AZ1016" s="1"/>
      <c r="BA1016" s="1"/>
      <c r="BB1016" s="1"/>
      <c r="BC1016" s="1"/>
      <c r="BD1016" s="1"/>
      <c r="BE1016" s="1"/>
      <c r="BF1016" s="1"/>
      <c r="BG1016" s="1"/>
      <c r="BH1016" s="1"/>
      <c r="BI1016" s="1"/>
      <c r="BJ1016" s="1"/>
      <c r="BK1016" s="1"/>
      <c r="BL1016" s="1"/>
      <c r="BM1016" s="1"/>
      <c r="BN1016" s="1"/>
      <c r="BO1016" s="1"/>
    </row>
    <row r="1017" spans="1:67" hidden="1" outlineLevel="1" x14ac:dyDescent="0.25">
      <c r="A1017" t="s">
        <v>2761</v>
      </c>
      <c r="E1017" s="7"/>
      <c r="F1017" s="10"/>
      <c r="G1017" s="14"/>
      <c r="H1017" s="2"/>
      <c r="I1017" s="54" t="s">
        <v>2736</v>
      </c>
      <c r="J1017" s="14">
        <v>53066</v>
      </c>
      <c r="K1017" s="2"/>
      <c r="L1017" s="19"/>
      <c r="M1017" s="14"/>
      <c r="N1017" s="2"/>
      <c r="O1017" s="14"/>
      <c r="P1017" s="55" t="s">
        <v>2863</v>
      </c>
      <c r="Q1017" s="14"/>
      <c r="R1017" s="2"/>
      <c r="S1017" s="14"/>
      <c r="T1017" s="2"/>
      <c r="U1017" s="1"/>
      <c r="V1017" s="62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  <c r="AL1017" s="1"/>
      <c r="AM1017" s="1"/>
      <c r="AN1017" s="1"/>
      <c r="AO1017" s="1"/>
      <c r="AP1017" s="1"/>
      <c r="AQ1017" s="1"/>
      <c r="AR1017" s="1"/>
      <c r="AS1017" s="1"/>
      <c r="AT1017" s="1"/>
      <c r="AU1017" s="1"/>
      <c r="AV1017" s="1"/>
      <c r="AW1017" s="1"/>
      <c r="AX1017" s="1"/>
      <c r="AY1017" s="1"/>
      <c r="AZ1017" s="1"/>
      <c r="BA1017" s="1"/>
      <c r="BB1017" s="1"/>
      <c r="BC1017" s="1"/>
      <c r="BD1017" s="1"/>
      <c r="BE1017" s="1"/>
      <c r="BF1017" s="1"/>
      <c r="BG1017" s="1"/>
      <c r="BH1017" s="1"/>
      <c r="BI1017" s="1"/>
      <c r="BJ1017" s="1"/>
      <c r="BK1017" s="1"/>
      <c r="BL1017" s="1"/>
      <c r="BM1017" s="1"/>
      <c r="BN1017" s="1"/>
      <c r="BO1017" s="1"/>
    </row>
    <row r="1018" spans="1:67" hidden="1" x14ac:dyDescent="0.25">
      <c r="A1018" t="s">
        <v>2217</v>
      </c>
      <c r="E1018" s="42" t="s">
        <v>2218</v>
      </c>
      <c r="F1018" s="43" t="s">
        <v>2219</v>
      </c>
      <c r="G1018" s="14">
        <v>0</v>
      </c>
      <c r="H1018" s="2"/>
      <c r="I1018" s="19"/>
      <c r="J1018" s="14">
        <v>0</v>
      </c>
      <c r="K1018" s="2"/>
      <c r="L1018" s="19"/>
      <c r="M1018" s="14">
        <v>0</v>
      </c>
      <c r="N1018" s="2"/>
      <c r="O1018" s="14">
        <v>0</v>
      </c>
      <c r="P1018" s="55" t="s">
        <v>2863</v>
      </c>
      <c r="Q1018" s="14">
        <v>0</v>
      </c>
      <c r="R1018" s="2"/>
      <c r="S1018" s="44">
        <f>[1]!DDIFF(0,0)</f>
        <v>0</v>
      </c>
      <c r="T1018" s="2"/>
      <c r="U1018" s="1"/>
      <c r="V1018" s="62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1"/>
      <c r="AS1018" s="1"/>
      <c r="AT1018" s="1"/>
      <c r="AU1018" s="1"/>
      <c r="AV1018" s="1"/>
      <c r="AW1018" s="1"/>
      <c r="AX1018" s="1"/>
      <c r="AY1018" s="1"/>
      <c r="AZ1018" s="1"/>
      <c r="BA1018" s="1"/>
      <c r="BB1018" s="1"/>
      <c r="BC1018" s="1"/>
      <c r="BD1018" s="1"/>
      <c r="BE1018" s="1"/>
      <c r="BF1018" s="1"/>
      <c r="BG1018" s="1"/>
      <c r="BH1018" s="1"/>
      <c r="BI1018" s="1"/>
      <c r="BJ1018" s="1"/>
      <c r="BK1018" s="1"/>
      <c r="BL1018" s="1"/>
      <c r="BM1018" s="1"/>
      <c r="BN1018" s="1"/>
      <c r="BO1018" s="1"/>
    </row>
    <row r="1019" spans="1:67" x14ac:dyDescent="0.25">
      <c r="A1019" t="s">
        <v>2223</v>
      </c>
      <c r="E1019" s="42" t="s">
        <v>2224</v>
      </c>
      <c r="F1019" s="43" t="s">
        <v>2225</v>
      </c>
      <c r="G1019" s="14">
        <v>20680</v>
      </c>
      <c r="H1019" s="2"/>
      <c r="I1019" s="19"/>
      <c r="J1019" s="14">
        <v>0</v>
      </c>
      <c r="K1019" s="2"/>
      <c r="L1019" s="19"/>
      <c r="M1019" s="14">
        <v>0</v>
      </c>
      <c r="N1019" s="2"/>
      <c r="O1019" s="14">
        <v>20680</v>
      </c>
      <c r="P1019" s="55" t="s">
        <v>2863</v>
      </c>
      <c r="Q1019" s="14">
        <v>20495</v>
      </c>
      <c r="R1019" s="2"/>
      <c r="S1019" s="44">
        <f>[1]!DDIFF(20495,20680)</f>
        <v>185</v>
      </c>
      <c r="T1019" s="2"/>
      <c r="U1019" s="1"/>
      <c r="V1019" s="62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1"/>
      <c r="AS1019" s="1"/>
      <c r="AT1019" s="1"/>
      <c r="AU1019" s="1"/>
      <c r="AV1019" s="1"/>
      <c r="AW1019" s="1"/>
      <c r="AX1019" s="1"/>
      <c r="AY1019" s="1"/>
      <c r="AZ1019" s="1"/>
      <c r="BA1019" s="1"/>
      <c r="BB1019" s="1"/>
      <c r="BC1019" s="1"/>
      <c r="BD1019" s="1"/>
      <c r="BE1019" s="1"/>
      <c r="BF1019" s="1"/>
      <c r="BG1019" s="1"/>
      <c r="BH1019" s="1"/>
      <c r="BI1019" s="1"/>
      <c r="BJ1019" s="1"/>
      <c r="BK1019" s="1"/>
      <c r="BL1019" s="1"/>
      <c r="BM1019" s="1"/>
      <c r="BN1019" s="1"/>
      <c r="BO1019" s="1"/>
    </row>
    <row r="1020" spans="1:67" collapsed="1" x14ac:dyDescent="0.25">
      <c r="A1020" t="s">
        <v>2226</v>
      </c>
      <c r="E1020" s="42" t="s">
        <v>2227</v>
      </c>
      <c r="F1020" s="43" t="s">
        <v>2228</v>
      </c>
      <c r="G1020" s="14">
        <v>1957</v>
      </c>
      <c r="H1020" s="2"/>
      <c r="I1020" s="19"/>
      <c r="J1020" s="14">
        <v>25000</v>
      </c>
      <c r="K1020" s="2"/>
      <c r="L1020" s="19"/>
      <c r="M1020" s="14">
        <v>0</v>
      </c>
      <c r="N1020" s="2"/>
      <c r="O1020" s="14">
        <v>26957</v>
      </c>
      <c r="P1020" s="55" t="s">
        <v>2863</v>
      </c>
      <c r="Q1020" s="14">
        <v>26574</v>
      </c>
      <c r="R1020" s="2"/>
      <c r="S1020" s="44">
        <f>[1]!DDIFF(26574,26957)</f>
        <v>383</v>
      </c>
      <c r="T1020" s="2"/>
      <c r="U1020" s="1"/>
      <c r="V1020" s="62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1"/>
      <c r="AS1020" s="1"/>
      <c r="AT1020" s="1"/>
      <c r="AU1020" s="1"/>
      <c r="AV1020" s="1"/>
      <c r="AW1020" s="1"/>
      <c r="AX1020" s="1"/>
      <c r="AY1020" s="1"/>
      <c r="AZ1020" s="1"/>
      <c r="BA1020" s="1"/>
      <c r="BB1020" s="1"/>
      <c r="BC1020" s="1"/>
      <c r="BD1020" s="1"/>
      <c r="BE1020" s="1"/>
      <c r="BF1020" s="1"/>
      <c r="BG1020" s="1"/>
      <c r="BH1020" s="1"/>
      <c r="BI1020" s="1"/>
      <c r="BJ1020" s="1"/>
      <c r="BK1020" s="1"/>
      <c r="BL1020" s="1"/>
      <c r="BM1020" s="1"/>
      <c r="BN1020" s="1"/>
      <c r="BO1020" s="1"/>
    </row>
    <row r="1021" spans="1:67" hidden="1" outlineLevel="1" x14ac:dyDescent="0.25">
      <c r="A1021" t="s">
        <v>2826</v>
      </c>
      <c r="E1021" s="7"/>
      <c r="F1021" s="10"/>
      <c r="G1021" s="14"/>
      <c r="H1021" s="2"/>
      <c r="I1021" s="54" t="s">
        <v>2814</v>
      </c>
      <c r="J1021" s="14">
        <v>25000</v>
      </c>
      <c r="K1021" s="2"/>
      <c r="L1021" s="19"/>
      <c r="M1021" s="14"/>
      <c r="N1021" s="2"/>
      <c r="O1021" s="14"/>
      <c r="P1021" s="55" t="s">
        <v>2863</v>
      </c>
      <c r="Q1021" s="14"/>
      <c r="R1021" s="2"/>
      <c r="S1021" s="14"/>
      <c r="T1021" s="2"/>
      <c r="U1021" s="1"/>
      <c r="V1021" s="62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1"/>
      <c r="AS1021" s="1"/>
      <c r="AT1021" s="1"/>
      <c r="AU1021" s="1"/>
      <c r="AV1021" s="1"/>
      <c r="AW1021" s="1"/>
      <c r="AX1021" s="1"/>
      <c r="AY1021" s="1"/>
      <c r="AZ1021" s="1"/>
      <c r="BA1021" s="1"/>
      <c r="BB1021" s="1"/>
      <c r="BC1021" s="1"/>
      <c r="BD1021" s="1"/>
      <c r="BE1021" s="1"/>
      <c r="BF1021" s="1"/>
      <c r="BG1021" s="1"/>
      <c r="BH1021" s="1"/>
      <c r="BI1021" s="1"/>
      <c r="BJ1021" s="1"/>
      <c r="BK1021" s="1"/>
      <c r="BL1021" s="1"/>
      <c r="BM1021" s="1"/>
      <c r="BN1021" s="1"/>
      <c r="BO1021" s="1"/>
    </row>
    <row r="1022" spans="1:67" collapsed="1" x14ac:dyDescent="0.25">
      <c r="A1022" t="s">
        <v>2229</v>
      </c>
      <c r="E1022" s="42" t="s">
        <v>2230</v>
      </c>
      <c r="F1022" s="43" t="s">
        <v>2231</v>
      </c>
      <c r="G1022" s="14">
        <v>8822</v>
      </c>
      <c r="H1022" s="2"/>
      <c r="I1022" s="19"/>
      <c r="J1022" s="14">
        <v>13374</v>
      </c>
      <c r="K1022" s="2"/>
      <c r="L1022" s="19"/>
      <c r="M1022" s="14">
        <v>0</v>
      </c>
      <c r="N1022" s="2"/>
      <c r="O1022" s="14">
        <v>22196</v>
      </c>
      <c r="P1022" s="55" t="s">
        <v>2863</v>
      </c>
      <c r="Q1022" s="14">
        <v>5546</v>
      </c>
      <c r="R1022" s="2"/>
      <c r="S1022" s="44">
        <f>[1]!DDIFF(5546,22196)</f>
        <v>16650</v>
      </c>
      <c r="T1022" s="2"/>
      <c r="U1022" s="1"/>
      <c r="V1022" s="62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  <c r="AN1022" s="1"/>
      <c r="AO1022" s="1"/>
      <c r="AP1022" s="1"/>
      <c r="AQ1022" s="1"/>
      <c r="AR1022" s="1"/>
      <c r="AS1022" s="1"/>
      <c r="AT1022" s="1"/>
      <c r="AU1022" s="1"/>
      <c r="AV1022" s="1"/>
      <c r="AW1022" s="1"/>
      <c r="AX1022" s="1"/>
      <c r="AY1022" s="1"/>
      <c r="AZ1022" s="1"/>
      <c r="BA1022" s="1"/>
      <c r="BB1022" s="1"/>
      <c r="BC1022" s="1"/>
      <c r="BD1022" s="1"/>
      <c r="BE1022" s="1"/>
      <c r="BF1022" s="1"/>
      <c r="BG1022" s="1"/>
      <c r="BH1022" s="1"/>
      <c r="BI1022" s="1"/>
      <c r="BJ1022" s="1"/>
      <c r="BK1022" s="1"/>
      <c r="BL1022" s="1"/>
      <c r="BM1022" s="1"/>
      <c r="BN1022" s="1"/>
      <c r="BO1022" s="1"/>
    </row>
    <row r="1023" spans="1:67" hidden="1" outlineLevel="1" x14ac:dyDescent="0.25">
      <c r="A1023" t="s">
        <v>2762</v>
      </c>
      <c r="E1023" s="7"/>
      <c r="F1023" s="10"/>
      <c r="G1023" s="14"/>
      <c r="H1023" s="2"/>
      <c r="I1023" s="54" t="s">
        <v>2736</v>
      </c>
      <c r="J1023" s="14">
        <v>13374</v>
      </c>
      <c r="K1023" s="2"/>
      <c r="L1023" s="19"/>
      <c r="M1023" s="14"/>
      <c r="N1023" s="2"/>
      <c r="O1023" s="14"/>
      <c r="P1023" s="55" t="s">
        <v>2863</v>
      </c>
      <c r="Q1023" s="14"/>
      <c r="R1023" s="2"/>
      <c r="S1023" s="14"/>
      <c r="T1023" s="2"/>
      <c r="U1023" s="1"/>
      <c r="V1023" s="62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  <c r="AN1023" s="1"/>
      <c r="AO1023" s="1"/>
      <c r="AP1023" s="1"/>
      <c r="AQ1023" s="1"/>
      <c r="AR1023" s="1"/>
      <c r="AS1023" s="1"/>
      <c r="AT1023" s="1"/>
      <c r="AU1023" s="1"/>
      <c r="AV1023" s="1"/>
      <c r="AW1023" s="1"/>
      <c r="AX1023" s="1"/>
      <c r="AY1023" s="1"/>
      <c r="AZ1023" s="1"/>
      <c r="BA1023" s="1"/>
      <c r="BB1023" s="1"/>
      <c r="BC1023" s="1"/>
      <c r="BD1023" s="1"/>
      <c r="BE1023" s="1"/>
      <c r="BF1023" s="1"/>
      <c r="BG1023" s="1"/>
      <c r="BH1023" s="1"/>
      <c r="BI1023" s="1"/>
      <c r="BJ1023" s="1"/>
      <c r="BK1023" s="1"/>
      <c r="BL1023" s="1"/>
      <c r="BM1023" s="1"/>
      <c r="BN1023" s="1"/>
      <c r="BO1023" s="1"/>
    </row>
    <row r="1024" spans="1:67" hidden="1" x14ac:dyDescent="0.25">
      <c r="A1024" t="s">
        <v>2232</v>
      </c>
      <c r="E1024" s="42" t="s">
        <v>2233</v>
      </c>
      <c r="F1024" s="43" t="s">
        <v>2234</v>
      </c>
      <c r="G1024" s="14">
        <v>0</v>
      </c>
      <c r="H1024" s="2"/>
      <c r="I1024" s="19"/>
      <c r="J1024" s="14">
        <v>0</v>
      </c>
      <c r="K1024" s="2"/>
      <c r="L1024" s="19"/>
      <c r="M1024" s="14">
        <v>0</v>
      </c>
      <c r="N1024" s="2"/>
      <c r="O1024" s="14">
        <v>0</v>
      </c>
      <c r="P1024" s="55" t="s">
        <v>2863</v>
      </c>
      <c r="Q1024" s="14">
        <v>0</v>
      </c>
      <c r="R1024" s="2"/>
      <c r="S1024" s="44">
        <f>[1]!DDIFF(0,0)</f>
        <v>0</v>
      </c>
      <c r="T1024" s="2"/>
      <c r="U1024" s="1"/>
      <c r="V1024" s="62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  <c r="AL1024" s="1"/>
      <c r="AM1024" s="1"/>
      <c r="AN1024" s="1"/>
      <c r="AO1024" s="1"/>
      <c r="AP1024" s="1"/>
      <c r="AQ1024" s="1"/>
      <c r="AR1024" s="1"/>
      <c r="AS1024" s="1"/>
      <c r="AT1024" s="1"/>
      <c r="AU1024" s="1"/>
      <c r="AV1024" s="1"/>
      <c r="AW1024" s="1"/>
      <c r="AX1024" s="1"/>
      <c r="AY1024" s="1"/>
      <c r="AZ1024" s="1"/>
      <c r="BA1024" s="1"/>
      <c r="BB1024" s="1"/>
      <c r="BC1024" s="1"/>
      <c r="BD1024" s="1"/>
      <c r="BE1024" s="1"/>
      <c r="BF1024" s="1"/>
      <c r="BG1024" s="1"/>
      <c r="BH1024" s="1"/>
      <c r="BI1024" s="1"/>
      <c r="BJ1024" s="1"/>
      <c r="BK1024" s="1"/>
      <c r="BL1024" s="1"/>
      <c r="BM1024" s="1"/>
      <c r="BN1024" s="1"/>
      <c r="BO1024" s="1"/>
    </row>
    <row r="1025" spans="1:67" x14ac:dyDescent="0.25">
      <c r="A1025" t="s">
        <v>2235</v>
      </c>
      <c r="E1025" s="42" t="s">
        <v>2236</v>
      </c>
      <c r="F1025" s="43" t="s">
        <v>2237</v>
      </c>
      <c r="G1025" s="14">
        <v>23321</v>
      </c>
      <c r="H1025" s="2"/>
      <c r="I1025" s="19"/>
      <c r="J1025" s="14">
        <v>0</v>
      </c>
      <c r="K1025" s="2"/>
      <c r="L1025" s="19"/>
      <c r="M1025" s="14">
        <v>0</v>
      </c>
      <c r="N1025" s="2"/>
      <c r="O1025" s="14">
        <v>23321</v>
      </c>
      <c r="P1025" s="55" t="s">
        <v>2863</v>
      </c>
      <c r="Q1025" s="14">
        <v>7328</v>
      </c>
      <c r="R1025" s="2"/>
      <c r="S1025" s="44">
        <f>[1]!DDIFF(7328,23321)</f>
        <v>15993</v>
      </c>
      <c r="T1025" s="2"/>
      <c r="U1025" s="1"/>
      <c r="V1025" s="62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/>
      <c r="AN1025" s="1"/>
      <c r="AO1025" s="1"/>
      <c r="AP1025" s="1"/>
      <c r="AQ1025" s="1"/>
      <c r="AR1025" s="1"/>
      <c r="AS1025" s="1"/>
      <c r="AT1025" s="1"/>
      <c r="AU1025" s="1"/>
      <c r="AV1025" s="1"/>
      <c r="AW1025" s="1"/>
      <c r="AX1025" s="1"/>
      <c r="AY1025" s="1"/>
      <c r="AZ1025" s="1"/>
      <c r="BA1025" s="1"/>
      <c r="BB1025" s="1"/>
      <c r="BC1025" s="1"/>
      <c r="BD1025" s="1"/>
      <c r="BE1025" s="1"/>
      <c r="BF1025" s="1"/>
      <c r="BG1025" s="1"/>
      <c r="BH1025" s="1"/>
      <c r="BI1025" s="1"/>
      <c r="BJ1025" s="1"/>
      <c r="BK1025" s="1"/>
      <c r="BL1025" s="1"/>
      <c r="BM1025" s="1"/>
      <c r="BN1025" s="1"/>
      <c r="BO1025" s="1"/>
    </row>
    <row r="1026" spans="1:67" collapsed="1" x14ac:dyDescent="0.25">
      <c r="A1026" t="s">
        <v>2238</v>
      </c>
      <c r="E1026" s="42" t="s">
        <v>2239</v>
      </c>
      <c r="F1026" s="43" t="s">
        <v>2240</v>
      </c>
      <c r="G1026" s="14">
        <v>106083</v>
      </c>
      <c r="H1026" s="2"/>
      <c r="I1026" s="19"/>
      <c r="J1026" s="14">
        <v>3786</v>
      </c>
      <c r="K1026" s="2"/>
      <c r="L1026" s="19"/>
      <c r="M1026" s="14">
        <v>0</v>
      </c>
      <c r="N1026" s="2"/>
      <c r="O1026" s="14">
        <v>109869</v>
      </c>
      <c r="P1026" s="55" t="s">
        <v>2863</v>
      </c>
      <c r="Q1026" s="14">
        <v>31944</v>
      </c>
      <c r="R1026" s="2"/>
      <c r="S1026" s="44">
        <f>[1]!DDIFF(31944,109869)</f>
        <v>77925</v>
      </c>
      <c r="T1026" s="2"/>
      <c r="U1026" s="1"/>
      <c r="V1026" s="62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  <c r="AL1026" s="1"/>
      <c r="AM1026" s="1"/>
      <c r="AN1026" s="1"/>
      <c r="AO1026" s="1"/>
      <c r="AP1026" s="1"/>
      <c r="AQ1026" s="1"/>
      <c r="AR1026" s="1"/>
      <c r="AS1026" s="1"/>
      <c r="AT1026" s="1"/>
      <c r="AU1026" s="1"/>
      <c r="AV1026" s="1"/>
      <c r="AW1026" s="1"/>
      <c r="AX1026" s="1"/>
      <c r="AY1026" s="1"/>
      <c r="AZ1026" s="1"/>
      <c r="BA1026" s="1"/>
      <c r="BB1026" s="1"/>
      <c r="BC1026" s="1"/>
      <c r="BD1026" s="1"/>
      <c r="BE1026" s="1"/>
      <c r="BF1026" s="1"/>
      <c r="BG1026" s="1"/>
      <c r="BH1026" s="1"/>
      <c r="BI1026" s="1"/>
      <c r="BJ1026" s="1"/>
      <c r="BK1026" s="1"/>
      <c r="BL1026" s="1"/>
      <c r="BM1026" s="1"/>
      <c r="BN1026" s="1"/>
      <c r="BO1026" s="1"/>
    </row>
    <row r="1027" spans="1:67" hidden="1" outlineLevel="1" x14ac:dyDescent="0.25">
      <c r="A1027" t="s">
        <v>2763</v>
      </c>
      <c r="E1027" s="7"/>
      <c r="F1027" s="10"/>
      <c r="G1027" s="14"/>
      <c r="H1027" s="2"/>
      <c r="I1027" s="54" t="s">
        <v>2736</v>
      </c>
      <c r="J1027" s="14">
        <v>3786</v>
      </c>
      <c r="K1027" s="2"/>
      <c r="L1027" s="19"/>
      <c r="M1027" s="14"/>
      <c r="N1027" s="2"/>
      <c r="O1027" s="14"/>
      <c r="P1027" s="55" t="s">
        <v>2863</v>
      </c>
      <c r="Q1027" s="14"/>
      <c r="R1027" s="2"/>
      <c r="S1027" s="14"/>
      <c r="T1027" s="2"/>
      <c r="U1027" s="1"/>
      <c r="V1027" s="62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  <c r="AL1027" s="1"/>
      <c r="AM1027" s="1"/>
      <c r="AN1027" s="1"/>
      <c r="AO1027" s="1"/>
      <c r="AP1027" s="1"/>
      <c r="AQ1027" s="1"/>
      <c r="AR1027" s="1"/>
      <c r="AS1027" s="1"/>
      <c r="AT1027" s="1"/>
      <c r="AU1027" s="1"/>
      <c r="AV1027" s="1"/>
      <c r="AW1027" s="1"/>
      <c r="AX1027" s="1"/>
      <c r="AY1027" s="1"/>
      <c r="AZ1027" s="1"/>
      <c r="BA1027" s="1"/>
      <c r="BB1027" s="1"/>
      <c r="BC1027" s="1"/>
      <c r="BD1027" s="1"/>
      <c r="BE1027" s="1"/>
      <c r="BF1027" s="1"/>
      <c r="BG1027" s="1"/>
      <c r="BH1027" s="1"/>
      <c r="BI1027" s="1"/>
      <c r="BJ1027" s="1"/>
      <c r="BK1027" s="1"/>
      <c r="BL1027" s="1"/>
      <c r="BM1027" s="1"/>
      <c r="BN1027" s="1"/>
      <c r="BO1027" s="1"/>
    </row>
    <row r="1028" spans="1:67" collapsed="1" x14ac:dyDescent="0.25">
      <c r="A1028" t="s">
        <v>2241</v>
      </c>
      <c r="E1028" s="42" t="s">
        <v>2242</v>
      </c>
      <c r="F1028" s="43" t="s">
        <v>2243</v>
      </c>
      <c r="G1028" s="14">
        <v>8760</v>
      </c>
      <c r="H1028" s="2"/>
      <c r="I1028" s="19"/>
      <c r="J1028" s="14">
        <v>264</v>
      </c>
      <c r="K1028" s="2"/>
      <c r="L1028" s="19"/>
      <c r="M1028" s="14">
        <v>0</v>
      </c>
      <c r="N1028" s="2"/>
      <c r="O1028" s="14">
        <v>9024</v>
      </c>
      <c r="P1028" s="55" t="s">
        <v>2863</v>
      </c>
      <c r="Q1028" s="14">
        <v>20485</v>
      </c>
      <c r="R1028" s="2"/>
      <c r="S1028" s="44">
        <f>[1]!DDIFF(20485,9024)</f>
        <v>-11461</v>
      </c>
      <c r="T1028" s="2"/>
      <c r="U1028" s="1"/>
      <c r="V1028" s="62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  <c r="AL1028" s="1"/>
      <c r="AM1028" s="1"/>
      <c r="AN1028" s="1"/>
      <c r="AO1028" s="1"/>
      <c r="AP1028" s="1"/>
      <c r="AQ1028" s="1"/>
      <c r="AR1028" s="1"/>
      <c r="AS1028" s="1"/>
      <c r="AT1028" s="1"/>
      <c r="AU1028" s="1"/>
      <c r="AV1028" s="1"/>
      <c r="AW1028" s="1"/>
      <c r="AX1028" s="1"/>
      <c r="AY1028" s="1"/>
      <c r="AZ1028" s="1"/>
      <c r="BA1028" s="1"/>
      <c r="BB1028" s="1"/>
      <c r="BC1028" s="1"/>
      <c r="BD1028" s="1"/>
      <c r="BE1028" s="1"/>
      <c r="BF1028" s="1"/>
      <c r="BG1028" s="1"/>
      <c r="BH1028" s="1"/>
      <c r="BI1028" s="1"/>
      <c r="BJ1028" s="1"/>
      <c r="BK1028" s="1"/>
      <c r="BL1028" s="1"/>
      <c r="BM1028" s="1"/>
      <c r="BN1028" s="1"/>
      <c r="BO1028" s="1"/>
    </row>
    <row r="1029" spans="1:67" hidden="1" outlineLevel="1" x14ac:dyDescent="0.25">
      <c r="A1029" t="s">
        <v>2764</v>
      </c>
      <c r="E1029" s="7"/>
      <c r="F1029" s="10"/>
      <c r="G1029" s="14"/>
      <c r="H1029" s="2"/>
      <c r="I1029" s="54" t="s">
        <v>2736</v>
      </c>
      <c r="J1029" s="14">
        <v>264</v>
      </c>
      <c r="K1029" s="2"/>
      <c r="L1029" s="19"/>
      <c r="M1029" s="14"/>
      <c r="N1029" s="2"/>
      <c r="O1029" s="14"/>
      <c r="P1029" s="55" t="s">
        <v>2863</v>
      </c>
      <c r="Q1029" s="14"/>
      <c r="R1029" s="2"/>
      <c r="S1029" s="14"/>
      <c r="T1029" s="2"/>
      <c r="U1029" s="1"/>
      <c r="V1029" s="62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  <c r="AL1029" s="1"/>
      <c r="AM1029" s="1"/>
      <c r="AN1029" s="1"/>
      <c r="AO1029" s="1"/>
      <c r="AP1029" s="1"/>
      <c r="AQ1029" s="1"/>
      <c r="AR1029" s="1"/>
      <c r="AS1029" s="1"/>
      <c r="AT1029" s="1"/>
      <c r="AU1029" s="1"/>
      <c r="AV1029" s="1"/>
      <c r="AW1029" s="1"/>
      <c r="AX1029" s="1"/>
      <c r="AY1029" s="1"/>
      <c r="AZ1029" s="1"/>
      <c r="BA1029" s="1"/>
      <c r="BB1029" s="1"/>
      <c r="BC1029" s="1"/>
      <c r="BD1029" s="1"/>
      <c r="BE1029" s="1"/>
      <c r="BF1029" s="1"/>
      <c r="BG1029" s="1"/>
      <c r="BH1029" s="1"/>
      <c r="BI1029" s="1"/>
      <c r="BJ1029" s="1"/>
      <c r="BK1029" s="1"/>
      <c r="BL1029" s="1"/>
      <c r="BM1029" s="1"/>
      <c r="BN1029" s="1"/>
      <c r="BO1029" s="1"/>
    </row>
    <row r="1030" spans="1:67" x14ac:dyDescent="0.25">
      <c r="A1030" t="s">
        <v>2244</v>
      </c>
      <c r="E1030" s="42" t="s">
        <v>2245</v>
      </c>
      <c r="F1030" s="43" t="s">
        <v>2246</v>
      </c>
      <c r="G1030" s="14">
        <v>3394</v>
      </c>
      <c r="H1030" s="2"/>
      <c r="I1030" s="19"/>
      <c r="J1030" s="14">
        <v>0</v>
      </c>
      <c r="K1030" s="2"/>
      <c r="L1030" s="19"/>
      <c r="M1030" s="14">
        <v>0</v>
      </c>
      <c r="N1030" s="2"/>
      <c r="O1030" s="14">
        <v>3394</v>
      </c>
      <c r="P1030" s="55" t="s">
        <v>2863</v>
      </c>
      <c r="Q1030" s="14">
        <v>2343</v>
      </c>
      <c r="R1030" s="2"/>
      <c r="S1030" s="44">
        <f>[1]!DDIFF(2343,3394)</f>
        <v>1051</v>
      </c>
      <c r="T1030" s="2"/>
      <c r="U1030" s="1"/>
      <c r="V1030" s="62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  <c r="AL1030" s="1"/>
      <c r="AM1030" s="1"/>
      <c r="AN1030" s="1"/>
      <c r="AO1030" s="1"/>
      <c r="AP1030" s="1"/>
      <c r="AQ1030" s="1"/>
      <c r="AR1030" s="1"/>
      <c r="AS1030" s="1"/>
      <c r="AT1030" s="1"/>
      <c r="AU1030" s="1"/>
      <c r="AV1030" s="1"/>
      <c r="AW1030" s="1"/>
      <c r="AX1030" s="1"/>
      <c r="AY1030" s="1"/>
      <c r="AZ1030" s="1"/>
      <c r="BA1030" s="1"/>
      <c r="BB1030" s="1"/>
      <c r="BC1030" s="1"/>
      <c r="BD1030" s="1"/>
      <c r="BE1030" s="1"/>
      <c r="BF1030" s="1"/>
      <c r="BG1030" s="1"/>
      <c r="BH1030" s="1"/>
      <c r="BI1030" s="1"/>
      <c r="BJ1030" s="1"/>
      <c r="BK1030" s="1"/>
      <c r="BL1030" s="1"/>
      <c r="BM1030" s="1"/>
      <c r="BN1030" s="1"/>
      <c r="BO1030" s="1"/>
    </row>
    <row r="1031" spans="1:67" x14ac:dyDescent="0.25">
      <c r="A1031" t="s">
        <v>2247</v>
      </c>
      <c r="E1031" s="42" t="s">
        <v>2248</v>
      </c>
      <c r="F1031" s="43" t="s">
        <v>2249</v>
      </c>
      <c r="G1031" s="14">
        <v>57167</v>
      </c>
      <c r="H1031" s="2"/>
      <c r="I1031" s="19"/>
      <c r="J1031" s="14">
        <v>0</v>
      </c>
      <c r="K1031" s="2"/>
      <c r="L1031" s="19"/>
      <c r="M1031" s="14">
        <v>0</v>
      </c>
      <c r="N1031" s="2"/>
      <c r="O1031" s="14">
        <v>57167</v>
      </c>
      <c r="P1031" s="55" t="s">
        <v>2863</v>
      </c>
      <c r="Q1031" s="14">
        <v>1655</v>
      </c>
      <c r="R1031" s="2"/>
      <c r="S1031" s="44">
        <f>[1]!DDIFF(1655,57167)</f>
        <v>55512</v>
      </c>
      <c r="T1031" s="2"/>
      <c r="U1031" s="1"/>
      <c r="V1031" s="62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  <c r="AL1031" s="1"/>
      <c r="AM1031" s="1"/>
      <c r="AN1031" s="1"/>
      <c r="AO1031" s="1"/>
      <c r="AP1031" s="1"/>
      <c r="AQ1031" s="1"/>
      <c r="AR1031" s="1"/>
      <c r="AS1031" s="1"/>
      <c r="AT1031" s="1"/>
      <c r="AU1031" s="1"/>
      <c r="AV1031" s="1"/>
      <c r="AW1031" s="1"/>
      <c r="AX1031" s="1"/>
      <c r="AY1031" s="1"/>
      <c r="AZ1031" s="1"/>
      <c r="BA1031" s="1"/>
      <c r="BB1031" s="1"/>
      <c r="BC1031" s="1"/>
      <c r="BD1031" s="1"/>
      <c r="BE1031" s="1"/>
      <c r="BF1031" s="1"/>
      <c r="BG1031" s="1"/>
      <c r="BH1031" s="1"/>
      <c r="BI1031" s="1"/>
      <c r="BJ1031" s="1"/>
      <c r="BK1031" s="1"/>
      <c r="BL1031" s="1"/>
      <c r="BM1031" s="1"/>
      <c r="BN1031" s="1"/>
      <c r="BO1031" s="1"/>
    </row>
    <row r="1032" spans="1:67" collapsed="1" x14ac:dyDescent="0.25">
      <c r="A1032" t="s">
        <v>2250</v>
      </c>
      <c r="E1032" s="42" t="s">
        <v>2251</v>
      </c>
      <c r="F1032" s="43" t="s">
        <v>2252</v>
      </c>
      <c r="G1032" s="14">
        <v>22467</v>
      </c>
      <c r="H1032" s="2"/>
      <c r="I1032" s="19"/>
      <c r="J1032" s="14">
        <v>356</v>
      </c>
      <c r="K1032" s="2"/>
      <c r="L1032" s="19"/>
      <c r="M1032" s="14">
        <v>0</v>
      </c>
      <c r="N1032" s="2"/>
      <c r="O1032" s="14">
        <v>22823</v>
      </c>
      <c r="P1032" s="55" t="s">
        <v>2863</v>
      </c>
      <c r="Q1032" s="14">
        <v>19423</v>
      </c>
      <c r="R1032" s="2"/>
      <c r="S1032" s="44">
        <f>[1]!DDIFF(19423,22823)</f>
        <v>3400</v>
      </c>
      <c r="T1032" s="2"/>
      <c r="U1032" s="1"/>
      <c r="V1032" s="62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  <c r="AL1032" s="1"/>
      <c r="AM1032" s="1"/>
      <c r="AN1032" s="1"/>
      <c r="AO1032" s="1"/>
      <c r="AP1032" s="1"/>
      <c r="AQ1032" s="1"/>
      <c r="AR1032" s="1"/>
      <c r="AS1032" s="1"/>
      <c r="AT1032" s="1"/>
      <c r="AU1032" s="1"/>
      <c r="AV1032" s="1"/>
      <c r="AW1032" s="1"/>
      <c r="AX1032" s="1"/>
      <c r="AY1032" s="1"/>
      <c r="AZ1032" s="1"/>
      <c r="BA1032" s="1"/>
      <c r="BB1032" s="1"/>
      <c r="BC1032" s="1"/>
      <c r="BD1032" s="1"/>
      <c r="BE1032" s="1"/>
      <c r="BF1032" s="1"/>
      <c r="BG1032" s="1"/>
      <c r="BH1032" s="1"/>
      <c r="BI1032" s="1"/>
      <c r="BJ1032" s="1"/>
      <c r="BK1032" s="1"/>
      <c r="BL1032" s="1"/>
      <c r="BM1032" s="1"/>
      <c r="BN1032" s="1"/>
      <c r="BO1032" s="1"/>
    </row>
    <row r="1033" spans="1:67" hidden="1" outlineLevel="1" x14ac:dyDescent="0.25">
      <c r="A1033" t="s">
        <v>2719</v>
      </c>
      <c r="E1033" s="7"/>
      <c r="F1033" s="10"/>
      <c r="G1033" s="14"/>
      <c r="H1033" s="2"/>
      <c r="I1033" s="54" t="s">
        <v>2701</v>
      </c>
      <c r="J1033" s="14">
        <v>-194</v>
      </c>
      <c r="K1033" s="2"/>
      <c r="L1033" s="19"/>
      <c r="M1033" s="14"/>
      <c r="N1033" s="2"/>
      <c r="O1033" s="14"/>
      <c r="P1033" s="55" t="s">
        <v>2863</v>
      </c>
      <c r="Q1033" s="14"/>
      <c r="R1033" s="2"/>
      <c r="S1033" s="14"/>
      <c r="T1033" s="2"/>
      <c r="U1033" s="1"/>
      <c r="V1033" s="62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  <c r="AL1033" s="1"/>
      <c r="AM1033" s="1"/>
      <c r="AN1033" s="1"/>
      <c r="AO1033" s="1"/>
      <c r="AP1033" s="1"/>
      <c r="AQ1033" s="1"/>
      <c r="AR1033" s="1"/>
      <c r="AS1033" s="1"/>
      <c r="AT1033" s="1"/>
      <c r="AU1033" s="1"/>
      <c r="AV1033" s="1"/>
      <c r="AW1033" s="1"/>
      <c r="AX1033" s="1"/>
      <c r="AY1033" s="1"/>
      <c r="AZ1033" s="1"/>
      <c r="BA1033" s="1"/>
      <c r="BB1033" s="1"/>
      <c r="BC1033" s="1"/>
      <c r="BD1033" s="1"/>
      <c r="BE1033" s="1"/>
      <c r="BF1033" s="1"/>
      <c r="BG1033" s="1"/>
      <c r="BH1033" s="1"/>
      <c r="BI1033" s="1"/>
      <c r="BJ1033" s="1"/>
      <c r="BK1033" s="1"/>
      <c r="BL1033" s="1"/>
      <c r="BM1033" s="1"/>
      <c r="BN1033" s="1"/>
      <c r="BO1033" s="1"/>
    </row>
    <row r="1034" spans="1:67" hidden="1" outlineLevel="1" x14ac:dyDescent="0.25">
      <c r="A1034" t="s">
        <v>2765</v>
      </c>
      <c r="E1034" s="7"/>
      <c r="F1034" s="10"/>
      <c r="G1034" s="14"/>
      <c r="H1034" s="2"/>
      <c r="I1034" s="54" t="s">
        <v>2736</v>
      </c>
      <c r="J1034" s="14">
        <v>550</v>
      </c>
      <c r="K1034" s="2"/>
      <c r="L1034" s="19"/>
      <c r="M1034" s="14"/>
      <c r="N1034" s="2"/>
      <c r="O1034" s="14"/>
      <c r="P1034" s="55" t="s">
        <v>2863</v>
      </c>
      <c r="Q1034" s="14"/>
      <c r="R1034" s="2"/>
      <c r="S1034" s="14"/>
      <c r="T1034" s="2"/>
      <c r="U1034" s="1"/>
      <c r="V1034" s="62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  <c r="AL1034" s="1"/>
      <c r="AM1034" s="1"/>
      <c r="AN1034" s="1"/>
      <c r="AO1034" s="1"/>
      <c r="AP1034" s="1"/>
      <c r="AQ1034" s="1"/>
      <c r="AR1034" s="1"/>
      <c r="AS1034" s="1"/>
      <c r="AT1034" s="1"/>
      <c r="AU1034" s="1"/>
      <c r="AV1034" s="1"/>
      <c r="AW1034" s="1"/>
      <c r="AX1034" s="1"/>
      <c r="AY1034" s="1"/>
      <c r="AZ1034" s="1"/>
      <c r="BA1034" s="1"/>
      <c r="BB1034" s="1"/>
      <c r="BC1034" s="1"/>
      <c r="BD1034" s="1"/>
      <c r="BE1034" s="1"/>
      <c r="BF1034" s="1"/>
      <c r="BG1034" s="1"/>
      <c r="BH1034" s="1"/>
      <c r="BI1034" s="1"/>
      <c r="BJ1034" s="1"/>
      <c r="BK1034" s="1"/>
      <c r="BL1034" s="1"/>
      <c r="BM1034" s="1"/>
      <c r="BN1034" s="1"/>
      <c r="BO1034" s="1"/>
    </row>
    <row r="1035" spans="1:67" collapsed="1" x14ac:dyDescent="0.25">
      <c r="A1035" t="s">
        <v>2253</v>
      </c>
      <c r="E1035" s="42" t="s">
        <v>2254</v>
      </c>
      <c r="F1035" s="43" t="s">
        <v>2255</v>
      </c>
      <c r="G1035" s="14">
        <v>15155</v>
      </c>
      <c r="H1035" s="2"/>
      <c r="I1035" s="19"/>
      <c r="J1035" s="14">
        <v>-135</v>
      </c>
      <c r="K1035" s="2"/>
      <c r="L1035" s="19"/>
      <c r="M1035" s="14">
        <v>-215</v>
      </c>
      <c r="N1035" s="2"/>
      <c r="O1035" s="14">
        <v>14805</v>
      </c>
      <c r="P1035" s="55" t="s">
        <v>2863</v>
      </c>
      <c r="Q1035" s="14">
        <v>13111</v>
      </c>
      <c r="R1035" s="2"/>
      <c r="S1035" s="44">
        <f>[1]!DDIFF(13111,14805)</f>
        <v>1694</v>
      </c>
      <c r="T1035" s="2"/>
      <c r="U1035" s="1"/>
      <c r="V1035" s="62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  <c r="AL1035" s="1"/>
      <c r="AM1035" s="1"/>
      <c r="AN1035" s="1"/>
      <c r="AO1035" s="1"/>
      <c r="AP1035" s="1"/>
      <c r="AQ1035" s="1"/>
      <c r="AR1035" s="1"/>
      <c r="AS1035" s="1"/>
      <c r="AT1035" s="1"/>
      <c r="AU1035" s="1"/>
      <c r="AV1035" s="1"/>
      <c r="AW1035" s="1"/>
      <c r="AX1035" s="1"/>
      <c r="AY1035" s="1"/>
      <c r="AZ1035" s="1"/>
      <c r="BA1035" s="1"/>
      <c r="BB1035" s="1"/>
      <c r="BC1035" s="1"/>
      <c r="BD1035" s="1"/>
      <c r="BE1035" s="1"/>
      <c r="BF1035" s="1"/>
      <c r="BG1035" s="1"/>
      <c r="BH1035" s="1"/>
      <c r="BI1035" s="1"/>
      <c r="BJ1035" s="1"/>
      <c r="BK1035" s="1"/>
      <c r="BL1035" s="1"/>
      <c r="BM1035" s="1"/>
      <c r="BN1035" s="1"/>
      <c r="BO1035" s="1"/>
    </row>
    <row r="1036" spans="1:67" hidden="1" outlineLevel="1" x14ac:dyDescent="0.25">
      <c r="A1036" t="s">
        <v>2766</v>
      </c>
      <c r="E1036" s="7"/>
      <c r="F1036" s="10"/>
      <c r="G1036" s="14"/>
      <c r="H1036" s="2"/>
      <c r="I1036" s="54" t="s">
        <v>2736</v>
      </c>
      <c r="J1036" s="14">
        <v>362</v>
      </c>
      <c r="K1036" s="2"/>
      <c r="L1036" s="54" t="s">
        <v>2840</v>
      </c>
      <c r="M1036" s="14">
        <v>-215</v>
      </c>
      <c r="N1036" s="2"/>
      <c r="O1036" s="14"/>
      <c r="P1036" s="55" t="s">
        <v>2863</v>
      </c>
      <c r="Q1036" s="14"/>
      <c r="R1036" s="2"/>
      <c r="S1036" s="14"/>
      <c r="T1036" s="2"/>
      <c r="U1036" s="1"/>
      <c r="V1036" s="62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  <c r="AL1036" s="1"/>
      <c r="AM1036" s="1"/>
      <c r="AN1036" s="1"/>
      <c r="AO1036" s="1"/>
      <c r="AP1036" s="1"/>
      <c r="AQ1036" s="1"/>
      <c r="AR1036" s="1"/>
      <c r="AS1036" s="1"/>
      <c r="AT1036" s="1"/>
      <c r="AU1036" s="1"/>
      <c r="AV1036" s="1"/>
      <c r="AW1036" s="1"/>
      <c r="AX1036" s="1"/>
      <c r="AY1036" s="1"/>
      <c r="AZ1036" s="1"/>
      <c r="BA1036" s="1"/>
      <c r="BB1036" s="1"/>
      <c r="BC1036" s="1"/>
      <c r="BD1036" s="1"/>
      <c r="BE1036" s="1"/>
      <c r="BF1036" s="1"/>
      <c r="BG1036" s="1"/>
      <c r="BH1036" s="1"/>
      <c r="BI1036" s="1"/>
      <c r="BJ1036" s="1"/>
      <c r="BK1036" s="1"/>
      <c r="BL1036" s="1"/>
      <c r="BM1036" s="1"/>
      <c r="BN1036" s="1"/>
      <c r="BO1036" s="1"/>
    </row>
    <row r="1037" spans="1:67" hidden="1" outlineLevel="1" x14ac:dyDescent="0.25">
      <c r="A1037" t="s">
        <v>2767</v>
      </c>
      <c r="E1037" s="7"/>
      <c r="F1037" s="10"/>
      <c r="G1037" s="14"/>
      <c r="H1037" s="2"/>
      <c r="I1037" s="54" t="s">
        <v>2736</v>
      </c>
      <c r="J1037" s="14">
        <v>-497</v>
      </c>
      <c r="K1037" s="2"/>
      <c r="L1037" s="19"/>
      <c r="M1037" s="14"/>
      <c r="N1037" s="2"/>
      <c r="O1037" s="14"/>
      <c r="P1037" s="55" t="s">
        <v>2863</v>
      </c>
      <c r="Q1037" s="14"/>
      <c r="R1037" s="2"/>
      <c r="S1037" s="14"/>
      <c r="T1037" s="2"/>
      <c r="U1037" s="1"/>
      <c r="V1037" s="62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  <c r="AL1037" s="1"/>
      <c r="AM1037" s="1"/>
      <c r="AN1037" s="1"/>
      <c r="AO1037" s="1"/>
      <c r="AP1037" s="1"/>
      <c r="AQ1037" s="1"/>
      <c r="AR1037" s="1"/>
      <c r="AS1037" s="1"/>
      <c r="AT1037" s="1"/>
      <c r="AU1037" s="1"/>
      <c r="AV1037" s="1"/>
      <c r="AW1037" s="1"/>
      <c r="AX1037" s="1"/>
      <c r="AY1037" s="1"/>
      <c r="AZ1037" s="1"/>
      <c r="BA1037" s="1"/>
      <c r="BB1037" s="1"/>
      <c r="BC1037" s="1"/>
      <c r="BD1037" s="1"/>
      <c r="BE1037" s="1"/>
      <c r="BF1037" s="1"/>
      <c r="BG1037" s="1"/>
      <c r="BH1037" s="1"/>
      <c r="BI1037" s="1"/>
      <c r="BJ1037" s="1"/>
      <c r="BK1037" s="1"/>
      <c r="BL1037" s="1"/>
      <c r="BM1037" s="1"/>
      <c r="BN1037" s="1"/>
      <c r="BO1037" s="1"/>
    </row>
    <row r="1038" spans="1:67" collapsed="1" x14ac:dyDescent="0.25">
      <c r="A1038" t="s">
        <v>2256</v>
      </c>
      <c r="E1038" s="42" t="s">
        <v>2257</v>
      </c>
      <c r="F1038" s="43" t="s">
        <v>2258</v>
      </c>
      <c r="G1038" s="14">
        <v>29207</v>
      </c>
      <c r="H1038" s="2"/>
      <c r="I1038" s="19"/>
      <c r="J1038" s="14">
        <v>-593</v>
      </c>
      <c r="K1038" s="2"/>
      <c r="L1038" s="19"/>
      <c r="M1038" s="14">
        <v>0</v>
      </c>
      <c r="N1038" s="2"/>
      <c r="O1038" s="14">
        <v>28614</v>
      </c>
      <c r="P1038" s="55" t="s">
        <v>2863</v>
      </c>
      <c r="Q1038" s="14">
        <v>34601</v>
      </c>
      <c r="R1038" s="2"/>
      <c r="S1038" s="44">
        <f>[1]!DDIFF(34601,28614)</f>
        <v>-5987</v>
      </c>
      <c r="T1038" s="2"/>
      <c r="U1038" s="1"/>
      <c r="V1038" s="62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  <c r="AL1038" s="1"/>
      <c r="AM1038" s="1"/>
      <c r="AN1038" s="1"/>
      <c r="AO1038" s="1"/>
      <c r="AP1038" s="1"/>
      <c r="AQ1038" s="1"/>
      <c r="AR1038" s="1"/>
      <c r="AS1038" s="1"/>
      <c r="AT1038" s="1"/>
      <c r="AU1038" s="1"/>
      <c r="AV1038" s="1"/>
      <c r="AW1038" s="1"/>
      <c r="AX1038" s="1"/>
      <c r="AY1038" s="1"/>
      <c r="AZ1038" s="1"/>
      <c r="BA1038" s="1"/>
      <c r="BB1038" s="1"/>
      <c r="BC1038" s="1"/>
      <c r="BD1038" s="1"/>
      <c r="BE1038" s="1"/>
      <c r="BF1038" s="1"/>
      <c r="BG1038" s="1"/>
      <c r="BH1038" s="1"/>
      <c r="BI1038" s="1"/>
      <c r="BJ1038" s="1"/>
      <c r="BK1038" s="1"/>
      <c r="BL1038" s="1"/>
      <c r="BM1038" s="1"/>
      <c r="BN1038" s="1"/>
      <c r="BO1038" s="1"/>
    </row>
    <row r="1039" spans="1:67" hidden="1" outlineLevel="1" x14ac:dyDescent="0.25">
      <c r="A1039" t="s">
        <v>2720</v>
      </c>
      <c r="E1039" s="7"/>
      <c r="F1039" s="10"/>
      <c r="G1039" s="14"/>
      <c r="H1039" s="2"/>
      <c r="I1039" s="54" t="s">
        <v>2701</v>
      </c>
      <c r="J1039" s="14">
        <v>-972</v>
      </c>
      <c r="K1039" s="2"/>
      <c r="L1039" s="19"/>
      <c r="M1039" s="14"/>
      <c r="N1039" s="2"/>
      <c r="O1039" s="14"/>
      <c r="P1039" s="55" t="s">
        <v>2863</v>
      </c>
      <c r="Q1039" s="14"/>
      <c r="R1039" s="2"/>
      <c r="S1039" s="14"/>
      <c r="T1039" s="2"/>
      <c r="U1039" s="1"/>
      <c r="V1039" s="62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  <c r="AL1039" s="1"/>
      <c r="AM1039" s="1"/>
      <c r="AN1039" s="1"/>
      <c r="AO1039" s="1"/>
      <c r="AP1039" s="1"/>
      <c r="AQ1039" s="1"/>
      <c r="AR1039" s="1"/>
      <c r="AS1039" s="1"/>
      <c r="AT1039" s="1"/>
      <c r="AU1039" s="1"/>
      <c r="AV1039" s="1"/>
      <c r="AW1039" s="1"/>
      <c r="AX1039" s="1"/>
      <c r="AY1039" s="1"/>
      <c r="AZ1039" s="1"/>
      <c r="BA1039" s="1"/>
      <c r="BB1039" s="1"/>
      <c r="BC1039" s="1"/>
      <c r="BD1039" s="1"/>
      <c r="BE1039" s="1"/>
      <c r="BF1039" s="1"/>
      <c r="BG1039" s="1"/>
      <c r="BH1039" s="1"/>
      <c r="BI1039" s="1"/>
      <c r="BJ1039" s="1"/>
      <c r="BK1039" s="1"/>
      <c r="BL1039" s="1"/>
      <c r="BM1039" s="1"/>
      <c r="BN1039" s="1"/>
      <c r="BO1039" s="1"/>
    </row>
    <row r="1040" spans="1:67" hidden="1" outlineLevel="1" x14ac:dyDescent="0.25">
      <c r="A1040" t="s">
        <v>2768</v>
      </c>
      <c r="E1040" s="7"/>
      <c r="F1040" s="10"/>
      <c r="G1040" s="14"/>
      <c r="H1040" s="2"/>
      <c r="I1040" s="54" t="s">
        <v>2736</v>
      </c>
      <c r="J1040" s="14">
        <v>379</v>
      </c>
      <c r="K1040" s="2"/>
      <c r="L1040" s="19"/>
      <c r="M1040" s="14"/>
      <c r="N1040" s="2"/>
      <c r="O1040" s="14"/>
      <c r="P1040" s="55" t="s">
        <v>2863</v>
      </c>
      <c r="Q1040" s="14"/>
      <c r="R1040" s="2"/>
      <c r="S1040" s="14"/>
      <c r="T1040" s="2"/>
      <c r="U1040" s="1"/>
      <c r="V1040" s="62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  <c r="AL1040" s="1"/>
      <c r="AM1040" s="1"/>
      <c r="AN1040" s="1"/>
      <c r="AO1040" s="1"/>
      <c r="AP1040" s="1"/>
      <c r="AQ1040" s="1"/>
      <c r="AR1040" s="1"/>
      <c r="AS1040" s="1"/>
      <c r="AT1040" s="1"/>
      <c r="AU1040" s="1"/>
      <c r="AV1040" s="1"/>
      <c r="AW1040" s="1"/>
      <c r="AX1040" s="1"/>
      <c r="AY1040" s="1"/>
      <c r="AZ1040" s="1"/>
      <c r="BA1040" s="1"/>
      <c r="BB1040" s="1"/>
      <c r="BC1040" s="1"/>
      <c r="BD1040" s="1"/>
      <c r="BE1040" s="1"/>
      <c r="BF1040" s="1"/>
      <c r="BG1040" s="1"/>
      <c r="BH1040" s="1"/>
      <c r="BI1040" s="1"/>
      <c r="BJ1040" s="1"/>
      <c r="BK1040" s="1"/>
      <c r="BL1040" s="1"/>
      <c r="BM1040" s="1"/>
      <c r="BN1040" s="1"/>
      <c r="BO1040" s="1"/>
    </row>
    <row r="1041" spans="1:67" hidden="1" x14ac:dyDescent="0.25">
      <c r="A1041" t="s">
        <v>2259</v>
      </c>
      <c r="E1041" s="42" t="s">
        <v>2260</v>
      </c>
      <c r="F1041" s="43" t="s">
        <v>2261</v>
      </c>
      <c r="G1041" s="14">
        <v>0</v>
      </c>
      <c r="H1041" s="2"/>
      <c r="I1041" s="19"/>
      <c r="J1041" s="14">
        <v>0</v>
      </c>
      <c r="K1041" s="2"/>
      <c r="L1041" s="19"/>
      <c r="M1041" s="14">
        <v>0</v>
      </c>
      <c r="N1041" s="2"/>
      <c r="O1041" s="14">
        <v>0</v>
      </c>
      <c r="P1041" s="55" t="s">
        <v>2863</v>
      </c>
      <c r="Q1041" s="14">
        <v>0</v>
      </c>
      <c r="R1041" s="2"/>
      <c r="S1041" s="44">
        <f>[1]!DDIFF(0,0)</f>
        <v>0</v>
      </c>
      <c r="T1041" s="2"/>
      <c r="U1041" s="1"/>
      <c r="V1041" s="62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  <c r="AL1041" s="1"/>
      <c r="AM1041" s="1"/>
      <c r="AN1041" s="1"/>
      <c r="AO1041" s="1"/>
      <c r="AP1041" s="1"/>
      <c r="AQ1041" s="1"/>
      <c r="AR1041" s="1"/>
      <c r="AS1041" s="1"/>
      <c r="AT1041" s="1"/>
      <c r="AU1041" s="1"/>
      <c r="AV1041" s="1"/>
      <c r="AW1041" s="1"/>
      <c r="AX1041" s="1"/>
      <c r="AY1041" s="1"/>
      <c r="AZ1041" s="1"/>
      <c r="BA1041" s="1"/>
      <c r="BB1041" s="1"/>
      <c r="BC1041" s="1"/>
      <c r="BD1041" s="1"/>
      <c r="BE1041" s="1"/>
      <c r="BF1041" s="1"/>
      <c r="BG1041" s="1"/>
      <c r="BH1041" s="1"/>
      <c r="BI1041" s="1"/>
      <c r="BJ1041" s="1"/>
      <c r="BK1041" s="1"/>
      <c r="BL1041" s="1"/>
      <c r="BM1041" s="1"/>
      <c r="BN1041" s="1"/>
      <c r="BO1041" s="1"/>
    </row>
    <row r="1042" spans="1:67" collapsed="1" x14ac:dyDescent="0.25">
      <c r="A1042" t="s">
        <v>2262</v>
      </c>
      <c r="E1042" s="42" t="s">
        <v>2263</v>
      </c>
      <c r="F1042" s="43" t="s">
        <v>2264</v>
      </c>
      <c r="G1042" s="14">
        <v>15032</v>
      </c>
      <c r="H1042" s="2"/>
      <c r="I1042" s="19"/>
      <c r="J1042" s="14">
        <v>0</v>
      </c>
      <c r="K1042" s="2"/>
      <c r="L1042" s="19"/>
      <c r="M1042" s="14">
        <v>0</v>
      </c>
      <c r="N1042" s="2"/>
      <c r="O1042" s="14">
        <v>15032</v>
      </c>
      <c r="P1042" s="55" t="s">
        <v>2863</v>
      </c>
      <c r="Q1042" s="14">
        <v>12212</v>
      </c>
      <c r="R1042" s="2"/>
      <c r="S1042" s="44">
        <f>[1]!DDIFF(12212,15032)</f>
        <v>2820</v>
      </c>
      <c r="T1042" s="2"/>
      <c r="U1042" s="1"/>
      <c r="V1042" s="62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  <c r="AL1042" s="1"/>
      <c r="AM1042" s="1"/>
      <c r="AN1042" s="1"/>
      <c r="AO1042" s="1"/>
      <c r="AP1042" s="1"/>
      <c r="AQ1042" s="1"/>
      <c r="AR1042" s="1"/>
      <c r="AS1042" s="1"/>
      <c r="AT1042" s="1"/>
      <c r="AU1042" s="1"/>
      <c r="AV1042" s="1"/>
      <c r="AW1042" s="1"/>
      <c r="AX1042" s="1"/>
      <c r="AY1042" s="1"/>
      <c r="AZ1042" s="1"/>
      <c r="BA1042" s="1"/>
      <c r="BB1042" s="1"/>
      <c r="BC1042" s="1"/>
      <c r="BD1042" s="1"/>
      <c r="BE1042" s="1"/>
      <c r="BF1042" s="1"/>
      <c r="BG1042" s="1"/>
      <c r="BH1042" s="1"/>
      <c r="BI1042" s="1"/>
      <c r="BJ1042" s="1"/>
      <c r="BK1042" s="1"/>
      <c r="BL1042" s="1"/>
      <c r="BM1042" s="1"/>
      <c r="BN1042" s="1"/>
      <c r="BO1042" s="1"/>
    </row>
    <row r="1043" spans="1:67" collapsed="1" x14ac:dyDescent="0.25">
      <c r="A1043" t="s">
        <v>2265</v>
      </c>
      <c r="E1043" s="42" t="s">
        <v>2266</v>
      </c>
      <c r="F1043" s="43" t="s">
        <v>2267</v>
      </c>
      <c r="G1043" s="14">
        <v>64453</v>
      </c>
      <c r="H1043" s="2"/>
      <c r="I1043" s="19"/>
      <c r="J1043" s="14">
        <v>3538</v>
      </c>
      <c r="K1043" s="2"/>
      <c r="L1043" s="19"/>
      <c r="M1043" s="14">
        <v>0</v>
      </c>
      <c r="N1043" s="2"/>
      <c r="O1043" s="14">
        <v>67991</v>
      </c>
      <c r="P1043" s="55" t="s">
        <v>2863</v>
      </c>
      <c r="Q1043" s="14">
        <v>67500</v>
      </c>
      <c r="R1043" s="2"/>
      <c r="S1043" s="44">
        <f>[1]!DDIFF(67500,67991)</f>
        <v>491</v>
      </c>
      <c r="T1043" s="2"/>
      <c r="U1043" s="1"/>
      <c r="V1043" s="62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  <c r="AL1043" s="1"/>
      <c r="AM1043" s="1"/>
      <c r="AN1043" s="1"/>
      <c r="AO1043" s="1"/>
      <c r="AP1043" s="1"/>
      <c r="AQ1043" s="1"/>
      <c r="AR1043" s="1"/>
      <c r="AS1043" s="1"/>
      <c r="AT1043" s="1"/>
      <c r="AU1043" s="1"/>
      <c r="AV1043" s="1"/>
      <c r="AW1043" s="1"/>
      <c r="AX1043" s="1"/>
      <c r="AY1043" s="1"/>
      <c r="AZ1043" s="1"/>
      <c r="BA1043" s="1"/>
      <c r="BB1043" s="1"/>
      <c r="BC1043" s="1"/>
      <c r="BD1043" s="1"/>
      <c r="BE1043" s="1"/>
      <c r="BF1043" s="1"/>
      <c r="BG1043" s="1"/>
      <c r="BH1043" s="1"/>
      <c r="BI1043" s="1"/>
      <c r="BJ1043" s="1"/>
      <c r="BK1043" s="1"/>
      <c r="BL1043" s="1"/>
      <c r="BM1043" s="1"/>
      <c r="BN1043" s="1"/>
      <c r="BO1043" s="1"/>
    </row>
    <row r="1044" spans="1:67" hidden="1" outlineLevel="1" x14ac:dyDescent="0.25">
      <c r="A1044" t="s">
        <v>2721</v>
      </c>
      <c r="E1044" s="7"/>
      <c r="F1044" s="10"/>
      <c r="G1044" s="14"/>
      <c r="H1044" s="2"/>
      <c r="I1044" s="54" t="s">
        <v>2701</v>
      </c>
      <c r="J1044" s="14">
        <v>-791</v>
      </c>
      <c r="K1044" s="2"/>
      <c r="L1044" s="19"/>
      <c r="M1044" s="14"/>
      <c r="N1044" s="2"/>
      <c r="O1044" s="14"/>
      <c r="P1044" s="55" t="s">
        <v>2863</v>
      </c>
      <c r="Q1044" s="14"/>
      <c r="R1044" s="2"/>
      <c r="S1044" s="14"/>
      <c r="T1044" s="2"/>
      <c r="U1044" s="1"/>
      <c r="V1044" s="62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  <c r="AN1044" s="1"/>
      <c r="AO1044" s="1"/>
      <c r="AP1044" s="1"/>
      <c r="AQ1044" s="1"/>
      <c r="AR1044" s="1"/>
      <c r="AS1044" s="1"/>
      <c r="AT1044" s="1"/>
      <c r="AU1044" s="1"/>
      <c r="AV1044" s="1"/>
      <c r="AW1044" s="1"/>
      <c r="AX1044" s="1"/>
      <c r="AY1044" s="1"/>
      <c r="AZ1044" s="1"/>
      <c r="BA1044" s="1"/>
      <c r="BB1044" s="1"/>
      <c r="BC1044" s="1"/>
      <c r="BD1044" s="1"/>
      <c r="BE1044" s="1"/>
      <c r="BF1044" s="1"/>
      <c r="BG1044" s="1"/>
      <c r="BH1044" s="1"/>
      <c r="BI1044" s="1"/>
      <c r="BJ1044" s="1"/>
      <c r="BK1044" s="1"/>
      <c r="BL1044" s="1"/>
      <c r="BM1044" s="1"/>
      <c r="BN1044" s="1"/>
      <c r="BO1044" s="1"/>
    </row>
    <row r="1045" spans="1:67" hidden="1" outlineLevel="1" x14ac:dyDescent="0.25">
      <c r="A1045" t="s">
        <v>2769</v>
      </c>
      <c r="E1045" s="7"/>
      <c r="F1045" s="10"/>
      <c r="G1045" s="14"/>
      <c r="H1045" s="2"/>
      <c r="I1045" s="54" t="s">
        <v>2736</v>
      </c>
      <c r="J1045" s="14">
        <v>4329</v>
      </c>
      <c r="K1045" s="2"/>
      <c r="L1045" s="19"/>
      <c r="M1045" s="14"/>
      <c r="N1045" s="2"/>
      <c r="O1045" s="14"/>
      <c r="P1045" s="55" t="s">
        <v>2863</v>
      </c>
      <c r="Q1045" s="14"/>
      <c r="R1045" s="2"/>
      <c r="S1045" s="14"/>
      <c r="T1045" s="2"/>
      <c r="U1045" s="1"/>
      <c r="V1045" s="62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1"/>
      <c r="AS1045" s="1"/>
      <c r="AT1045" s="1"/>
      <c r="AU1045" s="1"/>
      <c r="AV1045" s="1"/>
      <c r="AW1045" s="1"/>
      <c r="AX1045" s="1"/>
      <c r="AY1045" s="1"/>
      <c r="AZ1045" s="1"/>
      <c r="BA1045" s="1"/>
      <c r="BB1045" s="1"/>
      <c r="BC1045" s="1"/>
      <c r="BD1045" s="1"/>
      <c r="BE1045" s="1"/>
      <c r="BF1045" s="1"/>
      <c r="BG1045" s="1"/>
      <c r="BH1045" s="1"/>
      <c r="BI1045" s="1"/>
      <c r="BJ1045" s="1"/>
      <c r="BK1045" s="1"/>
      <c r="BL1045" s="1"/>
      <c r="BM1045" s="1"/>
      <c r="BN1045" s="1"/>
      <c r="BO1045" s="1"/>
    </row>
    <row r="1046" spans="1:67" collapsed="1" x14ac:dyDescent="0.25">
      <c r="A1046" t="s">
        <v>2268</v>
      </c>
      <c r="E1046" s="42" t="s">
        <v>2269</v>
      </c>
      <c r="F1046" s="43" t="s">
        <v>2270</v>
      </c>
      <c r="G1046" s="14">
        <v>6616</v>
      </c>
      <c r="H1046" s="2"/>
      <c r="I1046" s="19"/>
      <c r="J1046" s="14">
        <v>1084</v>
      </c>
      <c r="K1046" s="2"/>
      <c r="L1046" s="19"/>
      <c r="M1046" s="14">
        <v>0</v>
      </c>
      <c r="N1046" s="2"/>
      <c r="O1046" s="14">
        <v>7700</v>
      </c>
      <c r="P1046" s="55" t="s">
        <v>2863</v>
      </c>
      <c r="Q1046" s="14">
        <v>6606</v>
      </c>
      <c r="R1046" s="2"/>
      <c r="S1046" s="44">
        <f>[1]!DDIFF(6606,7700)</f>
        <v>1094</v>
      </c>
      <c r="T1046" s="2"/>
      <c r="U1046" s="1"/>
      <c r="V1046" s="62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  <c r="AN1046" s="1"/>
      <c r="AO1046" s="1"/>
      <c r="AP1046" s="1"/>
      <c r="AQ1046" s="1"/>
      <c r="AR1046" s="1"/>
      <c r="AS1046" s="1"/>
      <c r="AT1046" s="1"/>
      <c r="AU1046" s="1"/>
      <c r="AV1046" s="1"/>
      <c r="AW1046" s="1"/>
      <c r="AX1046" s="1"/>
      <c r="AY1046" s="1"/>
      <c r="AZ1046" s="1"/>
      <c r="BA1046" s="1"/>
      <c r="BB1046" s="1"/>
      <c r="BC1046" s="1"/>
      <c r="BD1046" s="1"/>
      <c r="BE1046" s="1"/>
      <c r="BF1046" s="1"/>
      <c r="BG1046" s="1"/>
      <c r="BH1046" s="1"/>
      <c r="BI1046" s="1"/>
      <c r="BJ1046" s="1"/>
      <c r="BK1046" s="1"/>
      <c r="BL1046" s="1"/>
      <c r="BM1046" s="1"/>
      <c r="BN1046" s="1"/>
      <c r="BO1046" s="1"/>
    </row>
    <row r="1047" spans="1:67" hidden="1" outlineLevel="1" x14ac:dyDescent="0.25">
      <c r="A1047" t="s">
        <v>2770</v>
      </c>
      <c r="E1047" s="7"/>
      <c r="F1047" s="10"/>
      <c r="G1047" s="14"/>
      <c r="H1047" s="2"/>
      <c r="I1047" s="54" t="s">
        <v>2736</v>
      </c>
      <c r="J1047" s="14">
        <v>1084</v>
      </c>
      <c r="K1047" s="2"/>
      <c r="L1047" s="19"/>
      <c r="M1047" s="14"/>
      <c r="N1047" s="2"/>
      <c r="O1047" s="14"/>
      <c r="P1047" s="55" t="s">
        <v>2863</v>
      </c>
      <c r="Q1047" s="14"/>
      <c r="R1047" s="2"/>
      <c r="S1047" s="14"/>
      <c r="T1047" s="2"/>
      <c r="U1047" s="1"/>
      <c r="V1047" s="62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  <c r="AN1047" s="1"/>
      <c r="AO1047" s="1"/>
      <c r="AP1047" s="1"/>
      <c r="AQ1047" s="1"/>
      <c r="AR1047" s="1"/>
      <c r="AS1047" s="1"/>
      <c r="AT1047" s="1"/>
      <c r="AU1047" s="1"/>
      <c r="AV1047" s="1"/>
      <c r="AW1047" s="1"/>
      <c r="AX1047" s="1"/>
      <c r="AY1047" s="1"/>
      <c r="AZ1047" s="1"/>
      <c r="BA1047" s="1"/>
      <c r="BB1047" s="1"/>
      <c r="BC1047" s="1"/>
      <c r="BD1047" s="1"/>
      <c r="BE1047" s="1"/>
      <c r="BF1047" s="1"/>
      <c r="BG1047" s="1"/>
      <c r="BH1047" s="1"/>
      <c r="BI1047" s="1"/>
      <c r="BJ1047" s="1"/>
      <c r="BK1047" s="1"/>
      <c r="BL1047" s="1"/>
      <c r="BM1047" s="1"/>
      <c r="BN1047" s="1"/>
      <c r="BO1047" s="1"/>
    </row>
    <row r="1048" spans="1:67" x14ac:dyDescent="0.25">
      <c r="A1048" t="s">
        <v>2271</v>
      </c>
      <c r="E1048" s="42" t="s">
        <v>2272</v>
      </c>
      <c r="F1048" s="43" t="s">
        <v>2273</v>
      </c>
      <c r="G1048" s="14">
        <v>1260</v>
      </c>
      <c r="H1048" s="2"/>
      <c r="I1048" s="19"/>
      <c r="J1048" s="14">
        <v>0</v>
      </c>
      <c r="K1048" s="2"/>
      <c r="L1048" s="19"/>
      <c r="M1048" s="14">
        <v>0</v>
      </c>
      <c r="N1048" s="2"/>
      <c r="O1048" s="14">
        <v>1260</v>
      </c>
      <c r="P1048" s="55" t="s">
        <v>2863</v>
      </c>
      <c r="Q1048" s="14">
        <v>300</v>
      </c>
      <c r="R1048" s="2"/>
      <c r="S1048" s="44">
        <f>[1]!DDIFF(300,1260)</f>
        <v>960</v>
      </c>
      <c r="T1048" s="2"/>
      <c r="U1048" s="1"/>
      <c r="V1048" s="62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  <c r="AN1048" s="1"/>
      <c r="AO1048" s="1"/>
      <c r="AP1048" s="1"/>
      <c r="AQ1048" s="1"/>
      <c r="AR1048" s="1"/>
      <c r="AS1048" s="1"/>
      <c r="AT1048" s="1"/>
      <c r="AU1048" s="1"/>
      <c r="AV1048" s="1"/>
      <c r="AW1048" s="1"/>
      <c r="AX1048" s="1"/>
      <c r="AY1048" s="1"/>
      <c r="AZ1048" s="1"/>
      <c r="BA1048" s="1"/>
      <c r="BB1048" s="1"/>
      <c r="BC1048" s="1"/>
      <c r="BD1048" s="1"/>
      <c r="BE1048" s="1"/>
      <c r="BF1048" s="1"/>
      <c r="BG1048" s="1"/>
      <c r="BH1048" s="1"/>
      <c r="BI1048" s="1"/>
      <c r="BJ1048" s="1"/>
      <c r="BK1048" s="1"/>
      <c r="BL1048" s="1"/>
      <c r="BM1048" s="1"/>
      <c r="BN1048" s="1"/>
      <c r="BO1048" s="1"/>
    </row>
    <row r="1049" spans="1:67" x14ac:dyDescent="0.25">
      <c r="A1049" t="s">
        <v>2274</v>
      </c>
      <c r="E1049" s="42" t="s">
        <v>2275</v>
      </c>
      <c r="F1049" s="43" t="s">
        <v>2276</v>
      </c>
      <c r="G1049" s="14">
        <v>3725</v>
      </c>
      <c r="H1049" s="2"/>
      <c r="I1049" s="19"/>
      <c r="J1049" s="14">
        <v>0</v>
      </c>
      <c r="K1049" s="2"/>
      <c r="L1049" s="19"/>
      <c r="M1049" s="14">
        <v>0</v>
      </c>
      <c r="N1049" s="2"/>
      <c r="O1049" s="14">
        <v>3725</v>
      </c>
      <c r="P1049" s="55" t="s">
        <v>2863</v>
      </c>
      <c r="Q1049" s="14">
        <v>11243</v>
      </c>
      <c r="R1049" s="2"/>
      <c r="S1049" s="44">
        <f>[1]!DDIFF(11243,3725)</f>
        <v>-7518</v>
      </c>
      <c r="T1049" s="2"/>
      <c r="U1049" s="1"/>
      <c r="V1049" s="62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  <c r="AL1049" s="1"/>
      <c r="AM1049" s="1"/>
      <c r="AN1049" s="1"/>
      <c r="AO1049" s="1"/>
      <c r="AP1049" s="1"/>
      <c r="AQ1049" s="1"/>
      <c r="AR1049" s="1"/>
      <c r="AS1049" s="1"/>
      <c r="AT1049" s="1"/>
      <c r="AU1049" s="1"/>
      <c r="AV1049" s="1"/>
      <c r="AW1049" s="1"/>
      <c r="AX1049" s="1"/>
      <c r="AY1049" s="1"/>
      <c r="AZ1049" s="1"/>
      <c r="BA1049" s="1"/>
      <c r="BB1049" s="1"/>
      <c r="BC1049" s="1"/>
      <c r="BD1049" s="1"/>
      <c r="BE1049" s="1"/>
      <c r="BF1049" s="1"/>
      <c r="BG1049" s="1"/>
      <c r="BH1049" s="1"/>
      <c r="BI1049" s="1"/>
      <c r="BJ1049" s="1"/>
      <c r="BK1049" s="1"/>
      <c r="BL1049" s="1"/>
      <c r="BM1049" s="1"/>
      <c r="BN1049" s="1"/>
      <c r="BO1049" s="1"/>
    </row>
    <row r="1050" spans="1:67" x14ac:dyDescent="0.25">
      <c r="A1050" t="s">
        <v>2277</v>
      </c>
      <c r="E1050" s="42" t="s">
        <v>2278</v>
      </c>
      <c r="F1050" s="43" t="s">
        <v>2279</v>
      </c>
      <c r="G1050" s="14">
        <v>0</v>
      </c>
      <c r="H1050" s="2"/>
      <c r="I1050" s="19"/>
      <c r="J1050" s="14">
        <v>0</v>
      </c>
      <c r="K1050" s="2"/>
      <c r="L1050" s="19"/>
      <c r="M1050" s="14">
        <v>0</v>
      </c>
      <c r="N1050" s="2"/>
      <c r="O1050" s="14">
        <v>0</v>
      </c>
      <c r="P1050" s="55" t="s">
        <v>2863</v>
      </c>
      <c r="Q1050" s="14">
        <v>1670</v>
      </c>
      <c r="R1050" s="2"/>
      <c r="S1050" s="44">
        <f>[1]!DDIFF(1670,0)</f>
        <v>-1670</v>
      </c>
      <c r="T1050" s="2"/>
      <c r="U1050" s="1"/>
      <c r="V1050" s="62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  <c r="AL1050" s="1"/>
      <c r="AM1050" s="1"/>
      <c r="AN1050" s="1"/>
      <c r="AO1050" s="1"/>
      <c r="AP1050" s="1"/>
      <c r="AQ1050" s="1"/>
      <c r="AR1050" s="1"/>
      <c r="AS1050" s="1"/>
      <c r="AT1050" s="1"/>
      <c r="AU1050" s="1"/>
      <c r="AV1050" s="1"/>
      <c r="AW1050" s="1"/>
      <c r="AX1050" s="1"/>
      <c r="AY1050" s="1"/>
      <c r="AZ1050" s="1"/>
      <c r="BA1050" s="1"/>
      <c r="BB1050" s="1"/>
      <c r="BC1050" s="1"/>
      <c r="BD1050" s="1"/>
      <c r="BE1050" s="1"/>
      <c r="BF1050" s="1"/>
      <c r="BG1050" s="1"/>
      <c r="BH1050" s="1"/>
      <c r="BI1050" s="1"/>
      <c r="BJ1050" s="1"/>
      <c r="BK1050" s="1"/>
      <c r="BL1050" s="1"/>
      <c r="BM1050" s="1"/>
      <c r="BN1050" s="1"/>
      <c r="BO1050" s="1"/>
    </row>
    <row r="1051" spans="1:67" x14ac:dyDescent="0.25">
      <c r="A1051" t="s">
        <v>2280</v>
      </c>
      <c r="E1051" s="42" t="s">
        <v>2281</v>
      </c>
      <c r="F1051" s="43" t="s">
        <v>2282</v>
      </c>
      <c r="G1051" s="14">
        <v>357232</v>
      </c>
      <c r="H1051" s="2"/>
      <c r="I1051" s="19"/>
      <c r="J1051" s="14">
        <v>0</v>
      </c>
      <c r="K1051" s="2"/>
      <c r="L1051" s="19"/>
      <c r="M1051" s="14">
        <v>0</v>
      </c>
      <c r="N1051" s="2"/>
      <c r="O1051" s="14">
        <v>357232</v>
      </c>
      <c r="P1051" s="55" t="s">
        <v>2892</v>
      </c>
      <c r="Q1051" s="14">
        <v>310584</v>
      </c>
      <c r="R1051" s="2"/>
      <c r="S1051" s="44">
        <f>[1]!DDIFF(310584,357232)</f>
        <v>46648</v>
      </c>
      <c r="T1051" s="2"/>
      <c r="U1051" s="1"/>
      <c r="V1051" s="62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  <c r="AJ1051" s="1"/>
      <c r="AK1051" s="1"/>
      <c r="AL1051" s="1"/>
      <c r="AM1051" s="1"/>
      <c r="AN1051" s="1"/>
      <c r="AO1051" s="1"/>
      <c r="AP1051" s="1"/>
      <c r="AQ1051" s="1"/>
      <c r="AR1051" s="1"/>
      <c r="AS1051" s="1"/>
      <c r="AT1051" s="1"/>
      <c r="AU1051" s="1"/>
      <c r="AV1051" s="1"/>
      <c r="AW1051" s="1"/>
      <c r="AX1051" s="1"/>
      <c r="AY1051" s="1"/>
      <c r="AZ1051" s="1"/>
      <c r="BA1051" s="1"/>
      <c r="BB1051" s="1"/>
      <c r="BC1051" s="1"/>
      <c r="BD1051" s="1"/>
      <c r="BE1051" s="1"/>
      <c r="BF1051" s="1"/>
      <c r="BG1051" s="1"/>
      <c r="BH1051" s="1"/>
      <c r="BI1051" s="1"/>
      <c r="BJ1051" s="1"/>
      <c r="BK1051" s="1"/>
      <c r="BL1051" s="1"/>
      <c r="BM1051" s="1"/>
      <c r="BN1051" s="1"/>
      <c r="BO1051" s="1"/>
    </row>
    <row r="1052" spans="1:67" x14ac:dyDescent="0.25">
      <c r="A1052" t="s">
        <v>2283</v>
      </c>
      <c r="E1052" s="42" t="s">
        <v>2284</v>
      </c>
      <c r="F1052" s="43" t="s">
        <v>2285</v>
      </c>
      <c r="G1052" s="14">
        <v>4651</v>
      </c>
      <c r="H1052" s="2"/>
      <c r="I1052" s="19"/>
      <c r="J1052" s="14">
        <v>0</v>
      </c>
      <c r="K1052" s="2"/>
      <c r="L1052" s="19"/>
      <c r="M1052" s="14">
        <v>0</v>
      </c>
      <c r="N1052" s="2"/>
      <c r="O1052" s="14">
        <v>4651</v>
      </c>
      <c r="P1052" s="55" t="s">
        <v>2863</v>
      </c>
      <c r="Q1052" s="14">
        <v>1273</v>
      </c>
      <c r="R1052" s="2"/>
      <c r="S1052" s="44">
        <f>[1]!DDIFF(1273,4651)</f>
        <v>3378</v>
      </c>
      <c r="T1052" s="2"/>
      <c r="U1052" s="1"/>
      <c r="V1052" s="62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  <c r="AJ1052" s="1"/>
      <c r="AK1052" s="1"/>
      <c r="AL1052" s="1"/>
      <c r="AM1052" s="1"/>
      <c r="AN1052" s="1"/>
      <c r="AO1052" s="1"/>
      <c r="AP1052" s="1"/>
      <c r="AQ1052" s="1"/>
      <c r="AR1052" s="1"/>
      <c r="AS1052" s="1"/>
      <c r="AT1052" s="1"/>
      <c r="AU1052" s="1"/>
      <c r="AV1052" s="1"/>
      <c r="AW1052" s="1"/>
      <c r="AX1052" s="1"/>
      <c r="AY1052" s="1"/>
      <c r="AZ1052" s="1"/>
      <c r="BA1052" s="1"/>
      <c r="BB1052" s="1"/>
      <c r="BC1052" s="1"/>
      <c r="BD1052" s="1"/>
      <c r="BE1052" s="1"/>
      <c r="BF1052" s="1"/>
      <c r="BG1052" s="1"/>
      <c r="BH1052" s="1"/>
      <c r="BI1052" s="1"/>
      <c r="BJ1052" s="1"/>
      <c r="BK1052" s="1"/>
      <c r="BL1052" s="1"/>
      <c r="BM1052" s="1"/>
      <c r="BN1052" s="1"/>
      <c r="BO1052" s="1"/>
    </row>
    <row r="1053" spans="1:67" hidden="1" x14ac:dyDescent="0.25">
      <c r="A1053" t="s">
        <v>2286</v>
      </c>
      <c r="E1053" s="42" t="s">
        <v>2287</v>
      </c>
      <c r="F1053" s="43" t="s">
        <v>2288</v>
      </c>
      <c r="G1053" s="14">
        <v>0</v>
      </c>
      <c r="H1053" s="2"/>
      <c r="I1053" s="19"/>
      <c r="J1053" s="14">
        <v>0</v>
      </c>
      <c r="K1053" s="2"/>
      <c r="L1053" s="19"/>
      <c r="M1053" s="14">
        <v>0</v>
      </c>
      <c r="N1053" s="2"/>
      <c r="O1053" s="14">
        <v>0</v>
      </c>
      <c r="P1053" s="55" t="s">
        <v>2863</v>
      </c>
      <c r="Q1053" s="14">
        <v>0</v>
      </c>
      <c r="R1053" s="2"/>
      <c r="S1053" s="44">
        <f>[1]!DDIFF(0,0)</f>
        <v>0</v>
      </c>
      <c r="T1053" s="2"/>
      <c r="U1053" s="1"/>
      <c r="V1053" s="62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  <c r="AJ1053" s="1"/>
      <c r="AK1053" s="1"/>
      <c r="AL1053" s="1"/>
      <c r="AM1053" s="1"/>
      <c r="AN1053" s="1"/>
      <c r="AO1053" s="1"/>
      <c r="AP1053" s="1"/>
      <c r="AQ1053" s="1"/>
      <c r="AR1053" s="1"/>
      <c r="AS1053" s="1"/>
      <c r="AT1053" s="1"/>
      <c r="AU1053" s="1"/>
      <c r="AV1053" s="1"/>
      <c r="AW1053" s="1"/>
      <c r="AX1053" s="1"/>
      <c r="AY1053" s="1"/>
      <c r="AZ1053" s="1"/>
      <c r="BA1053" s="1"/>
      <c r="BB1053" s="1"/>
      <c r="BC1053" s="1"/>
      <c r="BD1053" s="1"/>
      <c r="BE1053" s="1"/>
      <c r="BF1053" s="1"/>
      <c r="BG1053" s="1"/>
      <c r="BH1053" s="1"/>
      <c r="BI1053" s="1"/>
      <c r="BJ1053" s="1"/>
      <c r="BK1053" s="1"/>
      <c r="BL1053" s="1"/>
      <c r="BM1053" s="1"/>
      <c r="BN1053" s="1"/>
      <c r="BO1053" s="1"/>
    </row>
    <row r="1054" spans="1:67" x14ac:dyDescent="0.25">
      <c r="A1054" t="s">
        <v>2289</v>
      </c>
      <c r="E1054" s="42" t="s">
        <v>2290</v>
      </c>
      <c r="F1054" s="43" t="s">
        <v>2291</v>
      </c>
      <c r="G1054" s="14">
        <v>-30144</v>
      </c>
      <c r="H1054" s="2"/>
      <c r="I1054" s="19"/>
      <c r="J1054" s="14">
        <v>0</v>
      </c>
      <c r="K1054" s="2"/>
      <c r="L1054" s="19"/>
      <c r="M1054" s="14">
        <v>0</v>
      </c>
      <c r="N1054" s="2"/>
      <c r="O1054" s="14">
        <v>-30144</v>
      </c>
      <c r="P1054" s="55" t="s">
        <v>2863</v>
      </c>
      <c r="Q1054" s="14">
        <v>-21294</v>
      </c>
      <c r="R1054" s="2"/>
      <c r="S1054" s="44">
        <f>[1]!DDIFF(-21294,-30144)</f>
        <v>-8850</v>
      </c>
      <c r="T1054" s="2"/>
      <c r="U1054" s="1"/>
      <c r="V1054" s="62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  <c r="AJ1054" s="1"/>
      <c r="AK1054" s="1"/>
      <c r="AL1054" s="1"/>
      <c r="AM1054" s="1"/>
      <c r="AN1054" s="1"/>
      <c r="AO1054" s="1"/>
      <c r="AP1054" s="1"/>
      <c r="AQ1054" s="1"/>
      <c r="AR1054" s="1"/>
      <c r="AS1054" s="1"/>
      <c r="AT1054" s="1"/>
      <c r="AU1054" s="1"/>
      <c r="AV1054" s="1"/>
      <c r="AW1054" s="1"/>
      <c r="AX1054" s="1"/>
      <c r="AY1054" s="1"/>
      <c r="AZ1054" s="1"/>
      <c r="BA1054" s="1"/>
      <c r="BB1054" s="1"/>
      <c r="BC1054" s="1"/>
      <c r="BD1054" s="1"/>
      <c r="BE1054" s="1"/>
      <c r="BF1054" s="1"/>
      <c r="BG1054" s="1"/>
      <c r="BH1054" s="1"/>
      <c r="BI1054" s="1"/>
      <c r="BJ1054" s="1"/>
      <c r="BK1054" s="1"/>
      <c r="BL1054" s="1"/>
      <c r="BM1054" s="1"/>
      <c r="BN1054" s="1"/>
      <c r="BO1054" s="1"/>
    </row>
    <row r="1055" spans="1:67" hidden="1" x14ac:dyDescent="0.25">
      <c r="A1055" t="s">
        <v>2292</v>
      </c>
      <c r="E1055" s="42" t="s">
        <v>2293</v>
      </c>
      <c r="F1055" s="43" t="s">
        <v>2294</v>
      </c>
      <c r="G1055" s="14">
        <v>0</v>
      </c>
      <c r="H1055" s="2"/>
      <c r="I1055" s="19"/>
      <c r="J1055" s="14">
        <v>0</v>
      </c>
      <c r="K1055" s="2"/>
      <c r="L1055" s="19"/>
      <c r="M1055" s="14">
        <v>0</v>
      </c>
      <c r="N1055" s="2"/>
      <c r="O1055" s="14">
        <v>0</v>
      </c>
      <c r="P1055" s="55" t="s">
        <v>2863</v>
      </c>
      <c r="Q1055" s="14">
        <v>0</v>
      </c>
      <c r="R1055" s="2"/>
      <c r="S1055" s="44">
        <f>[1]!DDIFF(0,0)</f>
        <v>0</v>
      </c>
      <c r="T1055" s="2"/>
      <c r="U1055" s="1"/>
      <c r="V1055" s="62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  <c r="AJ1055" s="1"/>
      <c r="AK1055" s="1"/>
      <c r="AL1055" s="1"/>
      <c r="AM1055" s="1"/>
      <c r="AN1055" s="1"/>
      <c r="AO1055" s="1"/>
      <c r="AP1055" s="1"/>
      <c r="AQ1055" s="1"/>
      <c r="AR1055" s="1"/>
      <c r="AS1055" s="1"/>
      <c r="AT1055" s="1"/>
      <c r="AU1055" s="1"/>
      <c r="AV1055" s="1"/>
      <c r="AW1055" s="1"/>
      <c r="AX1055" s="1"/>
      <c r="AY1055" s="1"/>
      <c r="AZ1055" s="1"/>
      <c r="BA1055" s="1"/>
      <c r="BB1055" s="1"/>
      <c r="BC1055" s="1"/>
      <c r="BD1055" s="1"/>
      <c r="BE1055" s="1"/>
      <c r="BF1055" s="1"/>
      <c r="BG1055" s="1"/>
      <c r="BH1055" s="1"/>
      <c r="BI1055" s="1"/>
      <c r="BJ1055" s="1"/>
      <c r="BK1055" s="1"/>
      <c r="BL1055" s="1"/>
      <c r="BM1055" s="1"/>
      <c r="BN1055" s="1"/>
      <c r="BO1055" s="1"/>
    </row>
    <row r="1056" spans="1:67" hidden="1" x14ac:dyDescent="0.25">
      <c r="A1056" t="s">
        <v>2295</v>
      </c>
      <c r="E1056" s="42" t="s">
        <v>2296</v>
      </c>
      <c r="F1056" s="43" t="s">
        <v>2297</v>
      </c>
      <c r="G1056" s="14">
        <v>0</v>
      </c>
      <c r="H1056" s="2"/>
      <c r="I1056" s="19"/>
      <c r="J1056" s="14">
        <v>0</v>
      </c>
      <c r="K1056" s="2"/>
      <c r="L1056" s="19"/>
      <c r="M1056" s="14">
        <v>0</v>
      </c>
      <c r="N1056" s="2"/>
      <c r="O1056" s="14">
        <v>0</v>
      </c>
      <c r="P1056" s="55" t="s">
        <v>2863</v>
      </c>
      <c r="Q1056" s="14">
        <v>0</v>
      </c>
      <c r="R1056" s="2"/>
      <c r="S1056" s="44">
        <f>[1]!DDIFF(0,0)</f>
        <v>0</v>
      </c>
      <c r="T1056" s="2"/>
      <c r="U1056" s="1"/>
      <c r="V1056" s="62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  <c r="AJ1056" s="1"/>
      <c r="AK1056" s="1"/>
      <c r="AL1056" s="1"/>
      <c r="AM1056" s="1"/>
      <c r="AN1056" s="1"/>
      <c r="AO1056" s="1"/>
      <c r="AP1056" s="1"/>
      <c r="AQ1056" s="1"/>
      <c r="AR1056" s="1"/>
      <c r="AS1056" s="1"/>
      <c r="AT1056" s="1"/>
      <c r="AU1056" s="1"/>
      <c r="AV1056" s="1"/>
      <c r="AW1056" s="1"/>
      <c r="AX1056" s="1"/>
      <c r="AY1056" s="1"/>
      <c r="AZ1056" s="1"/>
      <c r="BA1056" s="1"/>
      <c r="BB1056" s="1"/>
      <c r="BC1056" s="1"/>
      <c r="BD1056" s="1"/>
      <c r="BE1056" s="1"/>
      <c r="BF1056" s="1"/>
      <c r="BG1056" s="1"/>
      <c r="BH1056" s="1"/>
      <c r="BI1056" s="1"/>
      <c r="BJ1056" s="1"/>
      <c r="BK1056" s="1"/>
      <c r="BL1056" s="1"/>
      <c r="BM1056" s="1"/>
      <c r="BN1056" s="1"/>
      <c r="BO1056" s="1"/>
    </row>
    <row r="1057" spans="1:67" collapsed="1" x14ac:dyDescent="0.25">
      <c r="A1057" t="s">
        <v>2298</v>
      </c>
      <c r="E1057" s="42" t="s">
        <v>2299</v>
      </c>
      <c r="F1057" s="43" t="s">
        <v>2300</v>
      </c>
      <c r="G1057" s="14">
        <v>-107494</v>
      </c>
      <c r="H1057" s="2"/>
      <c r="I1057" s="19"/>
      <c r="J1057" s="14">
        <v>-22920</v>
      </c>
      <c r="K1057" s="2"/>
      <c r="L1057" s="19"/>
      <c r="M1057" s="14">
        <v>0</v>
      </c>
      <c r="N1057" s="2"/>
      <c r="O1057" s="14">
        <v>-130414</v>
      </c>
      <c r="P1057" s="55" t="s">
        <v>2863</v>
      </c>
      <c r="Q1057" s="14">
        <v>-96209</v>
      </c>
      <c r="R1057" s="2"/>
      <c r="S1057" s="44">
        <f>[1]!DDIFF(-96209,-130414)</f>
        <v>-34205</v>
      </c>
      <c r="T1057" s="2"/>
      <c r="U1057" s="1"/>
      <c r="V1057" s="62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  <c r="AJ1057" s="1"/>
      <c r="AK1057" s="1"/>
      <c r="AL1057" s="1"/>
      <c r="AM1057" s="1"/>
      <c r="AN1057" s="1"/>
      <c r="AO1057" s="1"/>
      <c r="AP1057" s="1"/>
      <c r="AQ1057" s="1"/>
      <c r="AR1057" s="1"/>
      <c r="AS1057" s="1"/>
      <c r="AT1057" s="1"/>
      <c r="AU1057" s="1"/>
      <c r="AV1057" s="1"/>
      <c r="AW1057" s="1"/>
      <c r="AX1057" s="1"/>
      <c r="AY1057" s="1"/>
      <c r="AZ1057" s="1"/>
      <c r="BA1057" s="1"/>
      <c r="BB1057" s="1"/>
      <c r="BC1057" s="1"/>
      <c r="BD1057" s="1"/>
      <c r="BE1057" s="1"/>
      <c r="BF1057" s="1"/>
      <c r="BG1057" s="1"/>
      <c r="BH1057" s="1"/>
      <c r="BI1057" s="1"/>
      <c r="BJ1057" s="1"/>
      <c r="BK1057" s="1"/>
      <c r="BL1057" s="1"/>
      <c r="BM1057" s="1"/>
      <c r="BN1057" s="1"/>
      <c r="BO1057" s="1"/>
    </row>
    <row r="1058" spans="1:67" hidden="1" outlineLevel="1" x14ac:dyDescent="0.25">
      <c r="A1058" t="s">
        <v>2685</v>
      </c>
      <c r="E1058" s="7"/>
      <c r="F1058" s="10"/>
      <c r="G1058" s="14"/>
      <c r="H1058" s="2"/>
      <c r="I1058" s="54" t="s">
        <v>2819</v>
      </c>
      <c r="J1058" s="14">
        <v>-2874</v>
      </c>
      <c r="K1058" s="2"/>
      <c r="L1058" s="19"/>
      <c r="M1058" s="14"/>
      <c r="N1058" s="2"/>
      <c r="O1058" s="14"/>
      <c r="P1058" s="55" t="s">
        <v>2863</v>
      </c>
      <c r="Q1058" s="14"/>
      <c r="R1058" s="2"/>
      <c r="S1058" s="14"/>
      <c r="T1058" s="2"/>
      <c r="U1058" s="1"/>
      <c r="V1058" s="62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  <c r="AJ1058" s="1"/>
      <c r="AK1058" s="1"/>
      <c r="AL1058" s="1"/>
      <c r="AM1058" s="1"/>
      <c r="AN1058" s="1"/>
      <c r="AO1058" s="1"/>
      <c r="AP1058" s="1"/>
      <c r="AQ1058" s="1"/>
      <c r="AR1058" s="1"/>
      <c r="AS1058" s="1"/>
      <c r="AT1058" s="1"/>
      <c r="AU1058" s="1"/>
      <c r="AV1058" s="1"/>
      <c r="AW1058" s="1"/>
      <c r="AX1058" s="1"/>
      <c r="AY1058" s="1"/>
      <c r="AZ1058" s="1"/>
      <c r="BA1058" s="1"/>
      <c r="BB1058" s="1"/>
      <c r="BC1058" s="1"/>
      <c r="BD1058" s="1"/>
      <c r="BE1058" s="1"/>
      <c r="BF1058" s="1"/>
      <c r="BG1058" s="1"/>
      <c r="BH1058" s="1"/>
      <c r="BI1058" s="1"/>
      <c r="BJ1058" s="1"/>
      <c r="BK1058" s="1"/>
      <c r="BL1058" s="1"/>
      <c r="BM1058" s="1"/>
      <c r="BN1058" s="1"/>
      <c r="BO1058" s="1"/>
    </row>
    <row r="1059" spans="1:67" hidden="1" outlineLevel="1" x14ac:dyDescent="0.25">
      <c r="A1059" t="s">
        <v>2827</v>
      </c>
      <c r="E1059" s="7"/>
      <c r="F1059" s="10"/>
      <c r="G1059" s="14"/>
      <c r="H1059" s="2"/>
      <c r="I1059" s="54" t="s">
        <v>2810</v>
      </c>
      <c r="J1059" s="14">
        <v>-20046</v>
      </c>
      <c r="K1059" s="2"/>
      <c r="L1059" s="19"/>
      <c r="M1059" s="14"/>
      <c r="N1059" s="2"/>
      <c r="O1059" s="14"/>
      <c r="P1059" s="55" t="s">
        <v>2863</v>
      </c>
      <c r="Q1059" s="14"/>
      <c r="R1059" s="2"/>
      <c r="S1059" s="14"/>
      <c r="T1059" s="2"/>
      <c r="U1059" s="1"/>
      <c r="V1059" s="62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  <c r="AJ1059" s="1"/>
      <c r="AK1059" s="1"/>
      <c r="AL1059" s="1"/>
      <c r="AM1059" s="1"/>
      <c r="AN1059" s="1"/>
      <c r="AO1059" s="1"/>
      <c r="AP1059" s="1"/>
      <c r="AQ1059" s="1"/>
      <c r="AR1059" s="1"/>
      <c r="AS1059" s="1"/>
      <c r="AT1059" s="1"/>
      <c r="AU1059" s="1"/>
      <c r="AV1059" s="1"/>
      <c r="AW1059" s="1"/>
      <c r="AX1059" s="1"/>
      <c r="AY1059" s="1"/>
      <c r="AZ1059" s="1"/>
      <c r="BA1059" s="1"/>
      <c r="BB1059" s="1"/>
      <c r="BC1059" s="1"/>
      <c r="BD1059" s="1"/>
      <c r="BE1059" s="1"/>
      <c r="BF1059" s="1"/>
      <c r="BG1059" s="1"/>
      <c r="BH1059" s="1"/>
      <c r="BI1059" s="1"/>
      <c r="BJ1059" s="1"/>
      <c r="BK1059" s="1"/>
      <c r="BL1059" s="1"/>
      <c r="BM1059" s="1"/>
      <c r="BN1059" s="1"/>
      <c r="BO1059" s="1"/>
    </row>
    <row r="1060" spans="1:67" hidden="1" x14ac:dyDescent="0.25">
      <c r="A1060" t="s">
        <v>2304</v>
      </c>
      <c r="E1060" s="42" t="s">
        <v>2305</v>
      </c>
      <c r="F1060" s="43" t="s">
        <v>2306</v>
      </c>
      <c r="G1060" s="14">
        <v>0</v>
      </c>
      <c r="H1060" s="2"/>
      <c r="I1060" s="19"/>
      <c r="J1060" s="14">
        <v>0</v>
      </c>
      <c r="K1060" s="2"/>
      <c r="L1060" s="19"/>
      <c r="M1060" s="14">
        <v>0</v>
      </c>
      <c r="N1060" s="2"/>
      <c r="O1060" s="14">
        <v>0</v>
      </c>
      <c r="P1060" s="55" t="s">
        <v>2863</v>
      </c>
      <c r="Q1060" s="14">
        <v>0</v>
      </c>
      <c r="R1060" s="2"/>
      <c r="S1060" s="44">
        <f>[1]!DDIFF(0,0)</f>
        <v>0</v>
      </c>
      <c r="T1060" s="2"/>
      <c r="U1060" s="1"/>
      <c r="V1060" s="62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  <c r="AJ1060" s="1"/>
      <c r="AK1060" s="1"/>
      <c r="AL1060" s="1"/>
      <c r="AM1060" s="1"/>
      <c r="AN1060" s="1"/>
      <c r="AO1060" s="1"/>
      <c r="AP1060" s="1"/>
      <c r="AQ1060" s="1"/>
      <c r="AR1060" s="1"/>
      <c r="AS1060" s="1"/>
      <c r="AT1060" s="1"/>
      <c r="AU1060" s="1"/>
      <c r="AV1060" s="1"/>
      <c r="AW1060" s="1"/>
      <c r="AX1060" s="1"/>
      <c r="AY1060" s="1"/>
      <c r="AZ1060" s="1"/>
      <c r="BA1060" s="1"/>
      <c r="BB1060" s="1"/>
      <c r="BC1060" s="1"/>
      <c r="BD1060" s="1"/>
      <c r="BE1060" s="1"/>
      <c r="BF1060" s="1"/>
      <c r="BG1060" s="1"/>
      <c r="BH1060" s="1"/>
      <c r="BI1060" s="1"/>
      <c r="BJ1060" s="1"/>
      <c r="BK1060" s="1"/>
      <c r="BL1060" s="1"/>
      <c r="BM1060" s="1"/>
      <c r="BN1060" s="1"/>
      <c r="BO1060" s="1"/>
    </row>
    <row r="1061" spans="1:67" hidden="1" x14ac:dyDescent="0.25">
      <c r="A1061" t="s">
        <v>2307</v>
      </c>
      <c r="E1061" s="42" t="s">
        <v>2308</v>
      </c>
      <c r="F1061" s="43" t="s">
        <v>2309</v>
      </c>
      <c r="G1061" s="14">
        <v>0</v>
      </c>
      <c r="H1061" s="2"/>
      <c r="I1061" s="19"/>
      <c r="J1061" s="14">
        <v>0</v>
      </c>
      <c r="K1061" s="2"/>
      <c r="L1061" s="19"/>
      <c r="M1061" s="14">
        <v>0</v>
      </c>
      <c r="N1061" s="2"/>
      <c r="O1061" s="14">
        <v>0</v>
      </c>
      <c r="P1061" s="55" t="s">
        <v>2863</v>
      </c>
      <c r="Q1061" s="14">
        <v>0</v>
      </c>
      <c r="R1061" s="2"/>
      <c r="S1061" s="44">
        <f>[1]!DDIFF(0,0)</f>
        <v>0</v>
      </c>
      <c r="T1061" s="2"/>
      <c r="U1061" s="1"/>
      <c r="V1061" s="62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  <c r="AJ1061" s="1"/>
      <c r="AK1061" s="1"/>
      <c r="AL1061" s="1"/>
      <c r="AM1061" s="1"/>
      <c r="AN1061" s="1"/>
      <c r="AO1061" s="1"/>
      <c r="AP1061" s="1"/>
      <c r="AQ1061" s="1"/>
      <c r="AR1061" s="1"/>
      <c r="AS1061" s="1"/>
      <c r="AT1061" s="1"/>
      <c r="AU1061" s="1"/>
      <c r="AV1061" s="1"/>
      <c r="AW1061" s="1"/>
      <c r="AX1061" s="1"/>
      <c r="AY1061" s="1"/>
      <c r="AZ1061" s="1"/>
      <c r="BA1061" s="1"/>
      <c r="BB1061" s="1"/>
      <c r="BC1061" s="1"/>
      <c r="BD1061" s="1"/>
      <c r="BE1061" s="1"/>
      <c r="BF1061" s="1"/>
      <c r="BG1061" s="1"/>
      <c r="BH1061" s="1"/>
      <c r="BI1061" s="1"/>
      <c r="BJ1061" s="1"/>
      <c r="BK1061" s="1"/>
      <c r="BL1061" s="1"/>
      <c r="BM1061" s="1"/>
      <c r="BN1061" s="1"/>
      <c r="BO1061" s="1"/>
    </row>
    <row r="1062" spans="1:67" x14ac:dyDescent="0.25">
      <c r="A1062" t="s">
        <v>2310</v>
      </c>
      <c r="E1062" s="42" t="s">
        <v>2311</v>
      </c>
      <c r="F1062" s="43" t="s">
        <v>2312</v>
      </c>
      <c r="G1062" s="14">
        <v>0</v>
      </c>
      <c r="H1062" s="2"/>
      <c r="I1062" s="19"/>
      <c r="J1062" s="14">
        <v>0</v>
      </c>
      <c r="K1062" s="2"/>
      <c r="L1062" s="19"/>
      <c r="M1062" s="14">
        <v>0</v>
      </c>
      <c r="N1062" s="2"/>
      <c r="O1062" s="14">
        <v>0</v>
      </c>
      <c r="P1062" s="55" t="s">
        <v>2863</v>
      </c>
      <c r="Q1062" s="14">
        <v>125</v>
      </c>
      <c r="R1062" s="2"/>
      <c r="S1062" s="44">
        <f>[1]!DDIFF(125,0)</f>
        <v>-125</v>
      </c>
      <c r="T1062" s="2"/>
      <c r="U1062" s="1"/>
      <c r="V1062" s="62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  <c r="AJ1062" s="1"/>
      <c r="AK1062" s="1"/>
      <c r="AL1062" s="1"/>
      <c r="AM1062" s="1"/>
      <c r="AN1062" s="1"/>
      <c r="AO1062" s="1"/>
      <c r="AP1062" s="1"/>
      <c r="AQ1062" s="1"/>
      <c r="AR1062" s="1"/>
      <c r="AS1062" s="1"/>
      <c r="AT1062" s="1"/>
      <c r="AU1062" s="1"/>
      <c r="AV1062" s="1"/>
      <c r="AW1062" s="1"/>
      <c r="AX1062" s="1"/>
      <c r="AY1062" s="1"/>
      <c r="AZ1062" s="1"/>
      <c r="BA1062" s="1"/>
      <c r="BB1062" s="1"/>
      <c r="BC1062" s="1"/>
      <c r="BD1062" s="1"/>
      <c r="BE1062" s="1"/>
      <c r="BF1062" s="1"/>
      <c r="BG1062" s="1"/>
      <c r="BH1062" s="1"/>
      <c r="BI1062" s="1"/>
      <c r="BJ1062" s="1"/>
      <c r="BK1062" s="1"/>
      <c r="BL1062" s="1"/>
      <c r="BM1062" s="1"/>
      <c r="BN1062" s="1"/>
      <c r="BO1062" s="1"/>
    </row>
    <row r="1063" spans="1:67" hidden="1" x14ac:dyDescent="0.25">
      <c r="A1063" t="s">
        <v>2313</v>
      </c>
      <c r="E1063" s="42" t="s">
        <v>2314</v>
      </c>
      <c r="F1063" s="43" t="s">
        <v>659</v>
      </c>
      <c r="G1063" s="14">
        <v>0</v>
      </c>
      <c r="H1063" s="2"/>
      <c r="I1063" s="19"/>
      <c r="J1063" s="14">
        <v>0</v>
      </c>
      <c r="K1063" s="2"/>
      <c r="L1063" s="19"/>
      <c r="M1063" s="14">
        <v>0</v>
      </c>
      <c r="N1063" s="2"/>
      <c r="O1063" s="14">
        <v>0</v>
      </c>
      <c r="P1063" s="55" t="s">
        <v>2863</v>
      </c>
      <c r="Q1063" s="14">
        <v>0</v>
      </c>
      <c r="R1063" s="2"/>
      <c r="S1063" s="44">
        <f>[1]!DDIFF(0,0)</f>
        <v>0</v>
      </c>
      <c r="T1063" s="2"/>
      <c r="U1063" s="1"/>
      <c r="V1063" s="62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  <c r="AJ1063" s="1"/>
      <c r="AK1063" s="1"/>
      <c r="AL1063" s="1"/>
      <c r="AM1063" s="1"/>
      <c r="AN1063" s="1"/>
      <c r="AO1063" s="1"/>
      <c r="AP1063" s="1"/>
      <c r="AQ1063" s="1"/>
      <c r="AR1063" s="1"/>
      <c r="AS1063" s="1"/>
      <c r="AT1063" s="1"/>
      <c r="AU1063" s="1"/>
      <c r="AV1063" s="1"/>
      <c r="AW1063" s="1"/>
      <c r="AX1063" s="1"/>
      <c r="AY1063" s="1"/>
      <c r="AZ1063" s="1"/>
      <c r="BA1063" s="1"/>
      <c r="BB1063" s="1"/>
      <c r="BC1063" s="1"/>
      <c r="BD1063" s="1"/>
      <c r="BE1063" s="1"/>
      <c r="BF1063" s="1"/>
      <c r="BG1063" s="1"/>
      <c r="BH1063" s="1"/>
      <c r="BI1063" s="1"/>
      <c r="BJ1063" s="1"/>
      <c r="BK1063" s="1"/>
      <c r="BL1063" s="1"/>
      <c r="BM1063" s="1"/>
      <c r="BN1063" s="1"/>
      <c r="BO1063" s="1"/>
    </row>
    <row r="1064" spans="1:67" collapsed="1" x14ac:dyDescent="0.25">
      <c r="A1064" t="s">
        <v>2315</v>
      </c>
      <c r="E1064" s="42" t="s">
        <v>2316</v>
      </c>
      <c r="F1064" s="43" t="s">
        <v>2317</v>
      </c>
      <c r="G1064" s="14">
        <v>3316</v>
      </c>
      <c r="H1064" s="2"/>
      <c r="I1064" s="19"/>
      <c r="J1064" s="14">
        <v>0</v>
      </c>
      <c r="K1064" s="2"/>
      <c r="L1064" s="19"/>
      <c r="M1064" s="14">
        <v>0</v>
      </c>
      <c r="N1064" s="2"/>
      <c r="O1064" s="14">
        <v>3316</v>
      </c>
      <c r="P1064" s="55" t="s">
        <v>2863</v>
      </c>
      <c r="Q1064" s="14">
        <v>2981</v>
      </c>
      <c r="R1064" s="2"/>
      <c r="S1064" s="44">
        <f>[1]!DDIFF(2981,3316)</f>
        <v>335</v>
      </c>
      <c r="T1064" s="2"/>
      <c r="U1064" s="1"/>
      <c r="V1064" s="62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  <c r="AJ1064" s="1"/>
      <c r="AK1064" s="1"/>
      <c r="AL1064" s="1"/>
      <c r="AM1064" s="1"/>
      <c r="AN1064" s="1"/>
      <c r="AO1064" s="1"/>
      <c r="AP1064" s="1"/>
      <c r="AQ1064" s="1"/>
      <c r="AR1064" s="1"/>
      <c r="AS1064" s="1"/>
      <c r="AT1064" s="1"/>
      <c r="AU1064" s="1"/>
      <c r="AV1064" s="1"/>
      <c r="AW1064" s="1"/>
      <c r="AX1064" s="1"/>
      <c r="AY1064" s="1"/>
      <c r="AZ1064" s="1"/>
      <c r="BA1064" s="1"/>
      <c r="BB1064" s="1"/>
      <c r="BC1064" s="1"/>
      <c r="BD1064" s="1"/>
      <c r="BE1064" s="1"/>
      <c r="BF1064" s="1"/>
      <c r="BG1064" s="1"/>
      <c r="BH1064" s="1"/>
      <c r="BI1064" s="1"/>
      <c r="BJ1064" s="1"/>
      <c r="BK1064" s="1"/>
      <c r="BL1064" s="1"/>
      <c r="BM1064" s="1"/>
      <c r="BN1064" s="1"/>
      <c r="BO1064" s="1"/>
    </row>
    <row r="1065" spans="1:67" collapsed="1" x14ac:dyDescent="0.25">
      <c r="A1065" t="s">
        <v>2318</v>
      </c>
      <c r="E1065" s="42" t="s">
        <v>2319</v>
      </c>
      <c r="F1065" s="43" t="s">
        <v>2320</v>
      </c>
      <c r="G1065" s="14">
        <v>1040</v>
      </c>
      <c r="H1065" s="2"/>
      <c r="I1065" s="19"/>
      <c r="J1065" s="14">
        <v>0</v>
      </c>
      <c r="K1065" s="2"/>
      <c r="L1065" s="19"/>
      <c r="M1065" s="14">
        <v>0</v>
      </c>
      <c r="N1065" s="2"/>
      <c r="O1065" s="14">
        <v>1040</v>
      </c>
      <c r="P1065" s="55" t="s">
        <v>2863</v>
      </c>
      <c r="Q1065" s="14">
        <v>1759</v>
      </c>
      <c r="R1065" s="2"/>
      <c r="S1065" s="44">
        <f>[1]!DDIFF(1759,1040)</f>
        <v>-719</v>
      </c>
      <c r="T1065" s="2"/>
      <c r="U1065" s="1"/>
      <c r="V1065" s="62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  <c r="AJ1065" s="1"/>
      <c r="AK1065" s="1"/>
      <c r="AL1065" s="1"/>
      <c r="AM1065" s="1"/>
      <c r="AN1065" s="1"/>
      <c r="AO1065" s="1"/>
      <c r="AP1065" s="1"/>
      <c r="AQ1065" s="1"/>
      <c r="AR1065" s="1"/>
      <c r="AS1065" s="1"/>
      <c r="AT1065" s="1"/>
      <c r="AU1065" s="1"/>
      <c r="AV1065" s="1"/>
      <c r="AW1065" s="1"/>
      <c r="AX1065" s="1"/>
      <c r="AY1065" s="1"/>
      <c r="AZ1065" s="1"/>
      <c r="BA1065" s="1"/>
      <c r="BB1065" s="1"/>
      <c r="BC1065" s="1"/>
      <c r="BD1065" s="1"/>
      <c r="BE1065" s="1"/>
      <c r="BF1065" s="1"/>
      <c r="BG1065" s="1"/>
      <c r="BH1065" s="1"/>
      <c r="BI1065" s="1"/>
      <c r="BJ1065" s="1"/>
      <c r="BK1065" s="1"/>
      <c r="BL1065" s="1"/>
      <c r="BM1065" s="1"/>
      <c r="BN1065" s="1"/>
      <c r="BO1065" s="1"/>
    </row>
    <row r="1066" spans="1:67" hidden="1" x14ac:dyDescent="0.25">
      <c r="A1066" t="s">
        <v>2321</v>
      </c>
      <c r="E1066" s="42" t="s">
        <v>2322</v>
      </c>
      <c r="F1066" s="43" t="s">
        <v>2323</v>
      </c>
      <c r="G1066" s="14">
        <v>0</v>
      </c>
      <c r="H1066" s="2"/>
      <c r="I1066" s="19"/>
      <c r="J1066" s="14">
        <v>0</v>
      </c>
      <c r="K1066" s="2"/>
      <c r="L1066" s="19"/>
      <c r="M1066" s="14">
        <v>0</v>
      </c>
      <c r="N1066" s="2"/>
      <c r="O1066" s="14">
        <v>0</v>
      </c>
      <c r="P1066" s="55" t="s">
        <v>2863</v>
      </c>
      <c r="Q1066" s="14">
        <v>0</v>
      </c>
      <c r="R1066" s="2"/>
      <c r="S1066" s="44">
        <f>[1]!DDIFF(0,0)</f>
        <v>0</v>
      </c>
      <c r="T1066" s="2"/>
      <c r="U1066" s="1"/>
      <c r="V1066" s="62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  <c r="AJ1066" s="1"/>
      <c r="AK1066" s="1"/>
      <c r="AL1066" s="1"/>
      <c r="AM1066" s="1"/>
      <c r="AN1066" s="1"/>
      <c r="AO1066" s="1"/>
      <c r="AP1066" s="1"/>
      <c r="AQ1066" s="1"/>
      <c r="AR1066" s="1"/>
      <c r="AS1066" s="1"/>
      <c r="AT1066" s="1"/>
      <c r="AU1066" s="1"/>
      <c r="AV1066" s="1"/>
      <c r="AW1066" s="1"/>
      <c r="AX1066" s="1"/>
      <c r="AY1066" s="1"/>
      <c r="AZ1066" s="1"/>
      <c r="BA1066" s="1"/>
      <c r="BB1066" s="1"/>
      <c r="BC1066" s="1"/>
      <c r="BD1066" s="1"/>
      <c r="BE1066" s="1"/>
      <c r="BF1066" s="1"/>
      <c r="BG1066" s="1"/>
      <c r="BH1066" s="1"/>
      <c r="BI1066" s="1"/>
      <c r="BJ1066" s="1"/>
      <c r="BK1066" s="1"/>
      <c r="BL1066" s="1"/>
      <c r="BM1066" s="1"/>
      <c r="BN1066" s="1"/>
      <c r="BO1066" s="1"/>
    </row>
    <row r="1067" spans="1:67" hidden="1" collapsed="1" x14ac:dyDescent="0.25">
      <c r="A1067" t="s">
        <v>2324</v>
      </c>
      <c r="E1067" s="42" t="s">
        <v>2325</v>
      </c>
      <c r="F1067" s="43" t="s">
        <v>2326</v>
      </c>
      <c r="G1067" s="14">
        <v>0</v>
      </c>
      <c r="H1067" s="2"/>
      <c r="I1067" s="19"/>
      <c r="J1067" s="14">
        <v>0</v>
      </c>
      <c r="K1067" s="2"/>
      <c r="L1067" s="19"/>
      <c r="M1067" s="14">
        <v>0</v>
      </c>
      <c r="N1067" s="2"/>
      <c r="O1067" s="14">
        <v>0</v>
      </c>
      <c r="P1067" s="55" t="s">
        <v>2863</v>
      </c>
      <c r="Q1067" s="14">
        <v>0</v>
      </c>
      <c r="R1067" s="2"/>
      <c r="S1067" s="44">
        <f>[1]!DDIFF(0,0)</f>
        <v>0</v>
      </c>
      <c r="T1067" s="2"/>
      <c r="U1067" s="1"/>
      <c r="V1067" s="62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  <c r="AJ1067" s="1"/>
      <c r="AK1067" s="1"/>
      <c r="AL1067" s="1"/>
      <c r="AM1067" s="1"/>
      <c r="AN1067" s="1"/>
      <c r="AO1067" s="1"/>
      <c r="AP1067" s="1"/>
      <c r="AQ1067" s="1"/>
      <c r="AR1067" s="1"/>
      <c r="AS1067" s="1"/>
      <c r="AT1067" s="1"/>
      <c r="AU1067" s="1"/>
      <c r="AV1067" s="1"/>
      <c r="AW1067" s="1"/>
      <c r="AX1067" s="1"/>
      <c r="AY1067" s="1"/>
      <c r="AZ1067" s="1"/>
      <c r="BA1067" s="1"/>
      <c r="BB1067" s="1"/>
      <c r="BC1067" s="1"/>
      <c r="BD1067" s="1"/>
      <c r="BE1067" s="1"/>
      <c r="BF1067" s="1"/>
      <c r="BG1067" s="1"/>
      <c r="BH1067" s="1"/>
      <c r="BI1067" s="1"/>
      <c r="BJ1067" s="1"/>
      <c r="BK1067" s="1"/>
      <c r="BL1067" s="1"/>
      <c r="BM1067" s="1"/>
      <c r="BN1067" s="1"/>
      <c r="BO1067" s="1"/>
    </row>
    <row r="1068" spans="1:67" hidden="1" x14ac:dyDescent="0.25">
      <c r="A1068" t="s">
        <v>2327</v>
      </c>
      <c r="E1068" s="42" t="s">
        <v>2328</v>
      </c>
      <c r="F1068" s="43" t="s">
        <v>2329</v>
      </c>
      <c r="G1068" s="14">
        <v>0</v>
      </c>
      <c r="H1068" s="2"/>
      <c r="I1068" s="19"/>
      <c r="J1068" s="14">
        <v>0</v>
      </c>
      <c r="K1068" s="2"/>
      <c r="L1068" s="19"/>
      <c r="M1068" s="14">
        <v>0</v>
      </c>
      <c r="N1068" s="2"/>
      <c r="O1068" s="14">
        <v>0</v>
      </c>
      <c r="P1068" s="55" t="s">
        <v>2863</v>
      </c>
      <c r="Q1068" s="14">
        <v>0</v>
      </c>
      <c r="R1068" s="2"/>
      <c r="S1068" s="44">
        <f>[1]!DDIFF(0,0)</f>
        <v>0</v>
      </c>
      <c r="T1068" s="2"/>
      <c r="U1068" s="1"/>
      <c r="V1068" s="62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  <c r="AJ1068" s="1"/>
      <c r="AK1068" s="1"/>
      <c r="AL1068" s="1"/>
      <c r="AM1068" s="1"/>
      <c r="AN1068" s="1"/>
      <c r="AO1068" s="1"/>
      <c r="AP1068" s="1"/>
      <c r="AQ1068" s="1"/>
      <c r="AR1068" s="1"/>
      <c r="AS1068" s="1"/>
      <c r="AT1068" s="1"/>
      <c r="AU1068" s="1"/>
      <c r="AV1068" s="1"/>
      <c r="AW1068" s="1"/>
      <c r="AX1068" s="1"/>
      <c r="AY1068" s="1"/>
      <c r="AZ1068" s="1"/>
      <c r="BA1068" s="1"/>
      <c r="BB1068" s="1"/>
      <c r="BC1068" s="1"/>
      <c r="BD1068" s="1"/>
      <c r="BE1068" s="1"/>
      <c r="BF1068" s="1"/>
      <c r="BG1068" s="1"/>
      <c r="BH1068" s="1"/>
      <c r="BI1068" s="1"/>
      <c r="BJ1068" s="1"/>
      <c r="BK1068" s="1"/>
      <c r="BL1068" s="1"/>
      <c r="BM1068" s="1"/>
      <c r="BN1068" s="1"/>
      <c r="BO1068" s="1"/>
    </row>
    <row r="1069" spans="1:67" hidden="1" x14ac:dyDescent="0.25">
      <c r="A1069" t="s">
        <v>2330</v>
      </c>
      <c r="E1069" s="42" t="s">
        <v>2331</v>
      </c>
      <c r="F1069" s="43" t="s">
        <v>2332</v>
      </c>
      <c r="G1069" s="14">
        <v>0</v>
      </c>
      <c r="H1069" s="2"/>
      <c r="I1069" s="19"/>
      <c r="J1069" s="14">
        <v>0</v>
      </c>
      <c r="K1069" s="2"/>
      <c r="L1069" s="19"/>
      <c r="M1069" s="14">
        <v>0</v>
      </c>
      <c r="N1069" s="2"/>
      <c r="O1069" s="14">
        <v>0</v>
      </c>
      <c r="P1069" s="55" t="s">
        <v>2863</v>
      </c>
      <c r="Q1069" s="14">
        <v>0</v>
      </c>
      <c r="R1069" s="2"/>
      <c r="S1069" s="44">
        <f>[1]!DDIFF(0,0)</f>
        <v>0</v>
      </c>
      <c r="T1069" s="2"/>
      <c r="U1069" s="1"/>
      <c r="V1069" s="62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  <c r="AJ1069" s="1"/>
      <c r="AK1069" s="1"/>
      <c r="AL1069" s="1"/>
      <c r="AM1069" s="1"/>
      <c r="AN1069" s="1"/>
      <c r="AO1069" s="1"/>
      <c r="AP1069" s="1"/>
      <c r="AQ1069" s="1"/>
      <c r="AR1069" s="1"/>
      <c r="AS1069" s="1"/>
      <c r="AT1069" s="1"/>
      <c r="AU1069" s="1"/>
      <c r="AV1069" s="1"/>
      <c r="AW1069" s="1"/>
      <c r="AX1069" s="1"/>
      <c r="AY1069" s="1"/>
      <c r="AZ1069" s="1"/>
      <c r="BA1069" s="1"/>
      <c r="BB1069" s="1"/>
      <c r="BC1069" s="1"/>
      <c r="BD1069" s="1"/>
      <c r="BE1069" s="1"/>
      <c r="BF1069" s="1"/>
      <c r="BG1069" s="1"/>
      <c r="BH1069" s="1"/>
      <c r="BI1069" s="1"/>
      <c r="BJ1069" s="1"/>
      <c r="BK1069" s="1"/>
      <c r="BL1069" s="1"/>
      <c r="BM1069" s="1"/>
      <c r="BN1069" s="1"/>
      <c r="BO1069" s="1"/>
    </row>
    <row r="1070" spans="1:67" x14ac:dyDescent="0.25">
      <c r="A1070" t="s">
        <v>2333</v>
      </c>
      <c r="E1070" s="42" t="s">
        <v>2334</v>
      </c>
      <c r="F1070" s="43" t="s">
        <v>2335</v>
      </c>
      <c r="G1070" s="14">
        <v>1890</v>
      </c>
      <c r="H1070" s="2"/>
      <c r="I1070" s="19"/>
      <c r="J1070" s="14">
        <v>0</v>
      </c>
      <c r="K1070" s="2"/>
      <c r="L1070" s="19"/>
      <c r="M1070" s="14">
        <v>0</v>
      </c>
      <c r="N1070" s="2"/>
      <c r="O1070" s="14">
        <v>1890</v>
      </c>
      <c r="P1070" s="55" t="s">
        <v>2863</v>
      </c>
      <c r="Q1070" s="14">
        <v>11614</v>
      </c>
      <c r="R1070" s="2"/>
      <c r="S1070" s="44">
        <f>[1]!DDIFF(11614,1890)</f>
        <v>-9724</v>
      </c>
      <c r="T1070" s="2"/>
      <c r="U1070" s="1"/>
      <c r="V1070" s="62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  <c r="AJ1070" s="1"/>
      <c r="AK1070" s="1"/>
      <c r="AL1070" s="1"/>
      <c r="AM1070" s="1"/>
      <c r="AN1070" s="1"/>
      <c r="AO1070" s="1"/>
      <c r="AP1070" s="1"/>
      <c r="AQ1070" s="1"/>
      <c r="AR1070" s="1"/>
      <c r="AS1070" s="1"/>
      <c r="AT1070" s="1"/>
      <c r="AU1070" s="1"/>
      <c r="AV1070" s="1"/>
      <c r="AW1070" s="1"/>
      <c r="AX1070" s="1"/>
      <c r="AY1070" s="1"/>
      <c r="AZ1070" s="1"/>
      <c r="BA1070" s="1"/>
      <c r="BB1070" s="1"/>
      <c r="BC1070" s="1"/>
      <c r="BD1070" s="1"/>
      <c r="BE1070" s="1"/>
      <c r="BF1070" s="1"/>
      <c r="BG1070" s="1"/>
      <c r="BH1070" s="1"/>
      <c r="BI1070" s="1"/>
      <c r="BJ1070" s="1"/>
      <c r="BK1070" s="1"/>
      <c r="BL1070" s="1"/>
      <c r="BM1070" s="1"/>
      <c r="BN1070" s="1"/>
      <c r="BO1070" s="1"/>
    </row>
    <row r="1071" spans="1:67" hidden="1" x14ac:dyDescent="0.25">
      <c r="A1071" t="s">
        <v>2336</v>
      </c>
      <c r="E1071" s="42" t="s">
        <v>2337</v>
      </c>
      <c r="F1071" s="43" t="s">
        <v>2338</v>
      </c>
      <c r="G1071" s="14">
        <v>0</v>
      </c>
      <c r="H1071" s="2"/>
      <c r="I1071" s="19"/>
      <c r="J1071" s="14">
        <v>0</v>
      </c>
      <c r="K1071" s="2"/>
      <c r="L1071" s="19"/>
      <c r="M1071" s="14">
        <v>0</v>
      </c>
      <c r="N1071" s="2"/>
      <c r="O1071" s="14">
        <v>0</v>
      </c>
      <c r="P1071" s="55" t="s">
        <v>2863</v>
      </c>
      <c r="Q1071" s="14">
        <v>0</v>
      </c>
      <c r="R1071" s="2"/>
      <c r="S1071" s="44">
        <f>[1]!DDIFF(0,0)</f>
        <v>0</v>
      </c>
      <c r="T1071" s="2"/>
      <c r="U1071" s="1"/>
      <c r="V1071" s="62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  <c r="AL1071" s="1"/>
      <c r="AM1071" s="1"/>
      <c r="AN1071" s="1"/>
      <c r="AO1071" s="1"/>
      <c r="AP1071" s="1"/>
      <c r="AQ1071" s="1"/>
      <c r="AR1071" s="1"/>
      <c r="AS1071" s="1"/>
      <c r="AT1071" s="1"/>
      <c r="AU1071" s="1"/>
      <c r="AV1071" s="1"/>
      <c r="AW1071" s="1"/>
      <c r="AX1071" s="1"/>
      <c r="AY1071" s="1"/>
      <c r="AZ1071" s="1"/>
      <c r="BA1071" s="1"/>
      <c r="BB1071" s="1"/>
      <c r="BC1071" s="1"/>
      <c r="BD1071" s="1"/>
      <c r="BE1071" s="1"/>
      <c r="BF1071" s="1"/>
      <c r="BG1071" s="1"/>
      <c r="BH1071" s="1"/>
      <c r="BI1071" s="1"/>
      <c r="BJ1071" s="1"/>
      <c r="BK1071" s="1"/>
      <c r="BL1071" s="1"/>
      <c r="BM1071" s="1"/>
      <c r="BN1071" s="1"/>
      <c r="BO1071" s="1"/>
    </row>
    <row r="1072" spans="1:67" x14ac:dyDescent="0.25">
      <c r="A1072" t="s">
        <v>2339</v>
      </c>
      <c r="E1072" s="42" t="s">
        <v>2340</v>
      </c>
      <c r="F1072" s="43" t="s">
        <v>2341</v>
      </c>
      <c r="G1072" s="14">
        <v>1090</v>
      </c>
      <c r="H1072" s="2"/>
      <c r="I1072" s="19"/>
      <c r="J1072" s="14">
        <v>0</v>
      </c>
      <c r="K1072" s="2"/>
      <c r="L1072" s="19"/>
      <c r="M1072" s="14">
        <v>0</v>
      </c>
      <c r="N1072" s="2"/>
      <c r="O1072" s="14">
        <v>1090</v>
      </c>
      <c r="P1072" s="55" t="s">
        <v>2863</v>
      </c>
      <c r="Q1072" s="14">
        <v>800</v>
      </c>
      <c r="R1072" s="2"/>
      <c r="S1072" s="44">
        <f>[1]!DDIFF(800,1090)</f>
        <v>290</v>
      </c>
      <c r="T1072" s="2"/>
      <c r="U1072" s="1"/>
      <c r="V1072" s="62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  <c r="AL1072" s="1"/>
      <c r="AM1072" s="1"/>
      <c r="AN1072" s="1"/>
      <c r="AO1072" s="1"/>
      <c r="AP1072" s="1"/>
      <c r="AQ1072" s="1"/>
      <c r="AR1072" s="1"/>
      <c r="AS1072" s="1"/>
      <c r="AT1072" s="1"/>
      <c r="AU1072" s="1"/>
      <c r="AV1072" s="1"/>
      <c r="AW1072" s="1"/>
      <c r="AX1072" s="1"/>
      <c r="AY1072" s="1"/>
      <c r="AZ1072" s="1"/>
      <c r="BA1072" s="1"/>
      <c r="BB1072" s="1"/>
      <c r="BC1072" s="1"/>
      <c r="BD1072" s="1"/>
      <c r="BE1072" s="1"/>
      <c r="BF1072" s="1"/>
      <c r="BG1072" s="1"/>
      <c r="BH1072" s="1"/>
      <c r="BI1072" s="1"/>
      <c r="BJ1072" s="1"/>
      <c r="BK1072" s="1"/>
      <c r="BL1072" s="1"/>
      <c r="BM1072" s="1"/>
      <c r="BN1072" s="1"/>
      <c r="BO1072" s="1"/>
    </row>
    <row r="1073" spans="1:67" collapsed="1" x14ac:dyDescent="0.25">
      <c r="A1073" t="s">
        <v>2342</v>
      </c>
      <c r="E1073" s="42" t="s">
        <v>2343</v>
      </c>
      <c r="F1073" s="43" t="s">
        <v>2344</v>
      </c>
      <c r="G1073" s="14">
        <v>40460</v>
      </c>
      <c r="H1073" s="2"/>
      <c r="I1073" s="19"/>
      <c r="J1073" s="14">
        <v>-368</v>
      </c>
      <c r="K1073" s="2"/>
      <c r="L1073" s="19"/>
      <c r="M1073" s="14">
        <v>0</v>
      </c>
      <c r="N1073" s="2"/>
      <c r="O1073" s="14">
        <v>40092</v>
      </c>
      <c r="P1073" s="55" t="s">
        <v>2863</v>
      </c>
      <c r="Q1073" s="14">
        <v>70993</v>
      </c>
      <c r="R1073" s="2"/>
      <c r="S1073" s="44">
        <f>[1]!DDIFF(70993,40092)</f>
        <v>-30901</v>
      </c>
      <c r="T1073" s="2"/>
      <c r="U1073" s="1"/>
      <c r="V1073" s="62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  <c r="AL1073" s="1"/>
      <c r="AM1073" s="1"/>
      <c r="AN1073" s="1"/>
      <c r="AO1073" s="1"/>
      <c r="AP1073" s="1"/>
      <c r="AQ1073" s="1"/>
      <c r="AR1073" s="1"/>
      <c r="AS1073" s="1"/>
      <c r="AT1073" s="1"/>
      <c r="AU1073" s="1"/>
      <c r="AV1073" s="1"/>
      <c r="AW1073" s="1"/>
      <c r="AX1073" s="1"/>
      <c r="AY1073" s="1"/>
      <c r="AZ1073" s="1"/>
      <c r="BA1073" s="1"/>
      <c r="BB1073" s="1"/>
      <c r="BC1073" s="1"/>
      <c r="BD1073" s="1"/>
      <c r="BE1073" s="1"/>
      <c r="BF1073" s="1"/>
      <c r="BG1073" s="1"/>
      <c r="BH1073" s="1"/>
      <c r="BI1073" s="1"/>
      <c r="BJ1073" s="1"/>
      <c r="BK1073" s="1"/>
      <c r="BL1073" s="1"/>
      <c r="BM1073" s="1"/>
      <c r="BN1073" s="1"/>
      <c r="BO1073" s="1"/>
    </row>
    <row r="1074" spans="1:67" hidden="1" outlineLevel="1" x14ac:dyDescent="0.25">
      <c r="A1074" t="s">
        <v>2722</v>
      </c>
      <c r="E1074" s="7"/>
      <c r="F1074" s="10"/>
      <c r="G1074" s="14"/>
      <c r="H1074" s="2"/>
      <c r="I1074" s="54" t="s">
        <v>2701</v>
      </c>
      <c r="J1074" s="14">
        <v>-368</v>
      </c>
      <c r="K1074" s="2"/>
      <c r="L1074" s="19"/>
      <c r="M1074" s="14"/>
      <c r="N1074" s="2"/>
      <c r="O1074" s="14"/>
      <c r="P1074" s="55"/>
      <c r="Q1074" s="14"/>
      <c r="R1074" s="2"/>
      <c r="S1074" s="14"/>
      <c r="T1074" s="2"/>
      <c r="U1074" s="1"/>
      <c r="V1074" s="62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  <c r="AL1074" s="1"/>
      <c r="AM1074" s="1"/>
      <c r="AN1074" s="1"/>
      <c r="AO1074" s="1"/>
      <c r="AP1074" s="1"/>
      <c r="AQ1074" s="1"/>
      <c r="AR1074" s="1"/>
      <c r="AS1074" s="1"/>
      <c r="AT1074" s="1"/>
      <c r="AU1074" s="1"/>
      <c r="AV1074" s="1"/>
      <c r="AW1074" s="1"/>
      <c r="AX1074" s="1"/>
      <c r="AY1074" s="1"/>
      <c r="AZ1074" s="1"/>
      <c r="BA1074" s="1"/>
      <c r="BB1074" s="1"/>
      <c r="BC1074" s="1"/>
      <c r="BD1074" s="1"/>
      <c r="BE1074" s="1"/>
      <c r="BF1074" s="1"/>
      <c r="BG1074" s="1"/>
      <c r="BH1074" s="1"/>
      <c r="BI1074" s="1"/>
      <c r="BJ1074" s="1"/>
      <c r="BK1074" s="1"/>
      <c r="BL1074" s="1"/>
      <c r="BM1074" s="1"/>
      <c r="BN1074" s="1"/>
      <c r="BO1074" s="1"/>
    </row>
    <row r="1075" spans="1:67" collapsed="1" x14ac:dyDescent="0.25">
      <c r="A1075" t="s">
        <v>2345</v>
      </c>
      <c r="E1075" s="42" t="s">
        <v>2346</v>
      </c>
      <c r="F1075" s="43" t="s">
        <v>2347</v>
      </c>
      <c r="G1075" s="14">
        <v>68102</v>
      </c>
      <c r="H1075" s="2"/>
      <c r="I1075" s="19"/>
      <c r="J1075" s="14">
        <v>-97</v>
      </c>
      <c r="K1075" s="2"/>
      <c r="L1075" s="19"/>
      <c r="M1075" s="14">
        <v>0</v>
      </c>
      <c r="N1075" s="2"/>
      <c r="O1075" s="14">
        <v>68005</v>
      </c>
      <c r="P1075" s="55" t="s">
        <v>2863</v>
      </c>
      <c r="Q1075" s="14">
        <v>90742</v>
      </c>
      <c r="R1075" s="2"/>
      <c r="S1075" s="44">
        <f>[1]!DDIFF(90742,68005)</f>
        <v>-22737</v>
      </c>
      <c r="T1075" s="2"/>
      <c r="U1075" s="1"/>
      <c r="V1075" s="62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  <c r="AL1075" s="1"/>
      <c r="AM1075" s="1"/>
      <c r="AN1075" s="1"/>
      <c r="AO1075" s="1"/>
      <c r="AP1075" s="1"/>
      <c r="AQ1075" s="1"/>
      <c r="AR1075" s="1"/>
      <c r="AS1075" s="1"/>
      <c r="AT1075" s="1"/>
      <c r="AU1075" s="1"/>
      <c r="AV1075" s="1"/>
      <c r="AW1075" s="1"/>
      <c r="AX1075" s="1"/>
      <c r="AY1075" s="1"/>
      <c r="AZ1075" s="1"/>
      <c r="BA1075" s="1"/>
      <c r="BB1075" s="1"/>
      <c r="BC1075" s="1"/>
      <c r="BD1075" s="1"/>
      <c r="BE1075" s="1"/>
      <c r="BF1075" s="1"/>
      <c r="BG1075" s="1"/>
      <c r="BH1075" s="1"/>
      <c r="BI1075" s="1"/>
      <c r="BJ1075" s="1"/>
      <c r="BK1075" s="1"/>
      <c r="BL1075" s="1"/>
      <c r="BM1075" s="1"/>
      <c r="BN1075" s="1"/>
      <c r="BO1075" s="1"/>
    </row>
    <row r="1076" spans="1:67" hidden="1" outlineLevel="1" x14ac:dyDescent="0.25">
      <c r="A1076" t="s">
        <v>2723</v>
      </c>
      <c r="E1076" s="7"/>
      <c r="F1076" s="10"/>
      <c r="G1076" s="14"/>
      <c r="H1076" s="2"/>
      <c r="I1076" s="54" t="s">
        <v>2701</v>
      </c>
      <c r="J1076" s="14">
        <v>-97</v>
      </c>
      <c r="K1076" s="2"/>
      <c r="L1076" s="19"/>
      <c r="M1076" s="14"/>
      <c r="N1076" s="2"/>
      <c r="O1076" s="14"/>
      <c r="P1076" s="55"/>
      <c r="Q1076" s="14"/>
      <c r="R1076" s="2"/>
      <c r="S1076" s="14"/>
      <c r="T1076" s="2"/>
      <c r="U1076" s="1"/>
      <c r="V1076" s="62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  <c r="AL1076" s="1"/>
      <c r="AM1076" s="1"/>
      <c r="AN1076" s="1"/>
      <c r="AO1076" s="1"/>
      <c r="AP1076" s="1"/>
      <c r="AQ1076" s="1"/>
      <c r="AR1076" s="1"/>
      <c r="AS1076" s="1"/>
      <c r="AT1076" s="1"/>
      <c r="AU1076" s="1"/>
      <c r="AV1076" s="1"/>
      <c r="AW1076" s="1"/>
      <c r="AX1076" s="1"/>
      <c r="AY1076" s="1"/>
      <c r="AZ1076" s="1"/>
      <c r="BA1076" s="1"/>
      <c r="BB1076" s="1"/>
      <c r="BC1076" s="1"/>
      <c r="BD1076" s="1"/>
      <c r="BE1076" s="1"/>
      <c r="BF1076" s="1"/>
      <c r="BG1076" s="1"/>
      <c r="BH1076" s="1"/>
      <c r="BI1076" s="1"/>
      <c r="BJ1076" s="1"/>
      <c r="BK1076" s="1"/>
      <c r="BL1076" s="1"/>
      <c r="BM1076" s="1"/>
      <c r="BN1076" s="1"/>
      <c r="BO1076" s="1"/>
    </row>
    <row r="1077" spans="1:67" x14ac:dyDescent="0.25">
      <c r="A1077" t="s">
        <v>2681</v>
      </c>
      <c r="E1077" s="42" t="s">
        <v>2682</v>
      </c>
      <c r="F1077" s="43" t="s">
        <v>2683</v>
      </c>
      <c r="G1077" s="14">
        <v>91379</v>
      </c>
      <c r="H1077" s="2"/>
      <c r="I1077" s="19"/>
      <c r="J1077" s="14">
        <v>0</v>
      </c>
      <c r="K1077" s="2"/>
      <c r="L1077" s="19"/>
      <c r="M1077" s="14">
        <v>0</v>
      </c>
      <c r="N1077" s="2"/>
      <c r="O1077" s="14">
        <v>91379</v>
      </c>
      <c r="P1077" s="55" t="s">
        <v>2863</v>
      </c>
      <c r="Q1077" s="14">
        <v>49526</v>
      </c>
      <c r="R1077" s="2"/>
      <c r="S1077" s="44">
        <f>[1]!DDIFF(49526,91379)</f>
        <v>41853</v>
      </c>
      <c r="T1077" s="2"/>
      <c r="U1077" s="1"/>
      <c r="V1077" s="62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  <c r="AL1077" s="1"/>
      <c r="AM1077" s="1"/>
      <c r="AN1077" s="1"/>
      <c r="AO1077" s="1"/>
      <c r="AP1077" s="1"/>
      <c r="AQ1077" s="1"/>
      <c r="AR1077" s="1"/>
      <c r="AS1077" s="1"/>
      <c r="AT1077" s="1"/>
      <c r="AU1077" s="1"/>
      <c r="AV1077" s="1"/>
      <c r="AW1077" s="1"/>
      <c r="AX1077" s="1"/>
      <c r="AY1077" s="1"/>
      <c r="AZ1077" s="1"/>
      <c r="BA1077" s="1"/>
      <c r="BB1077" s="1"/>
      <c r="BC1077" s="1"/>
      <c r="BD1077" s="1"/>
      <c r="BE1077" s="1"/>
      <c r="BF1077" s="1"/>
      <c r="BG1077" s="1"/>
      <c r="BH1077" s="1"/>
      <c r="BI1077" s="1"/>
      <c r="BJ1077" s="1"/>
      <c r="BK1077" s="1"/>
      <c r="BL1077" s="1"/>
      <c r="BM1077" s="1"/>
      <c r="BN1077" s="1"/>
      <c r="BO1077" s="1"/>
    </row>
    <row r="1078" spans="1:67" x14ac:dyDescent="0.25">
      <c r="A1078" t="s">
        <v>2348</v>
      </c>
      <c r="E1078" s="42" t="s">
        <v>2349</v>
      </c>
      <c r="F1078" s="43" t="s">
        <v>2350</v>
      </c>
      <c r="G1078" s="14">
        <v>24785</v>
      </c>
      <c r="H1078" s="2"/>
      <c r="I1078" s="19"/>
      <c r="J1078" s="14">
        <v>0</v>
      </c>
      <c r="K1078" s="2"/>
      <c r="L1078" s="19"/>
      <c r="M1078" s="14">
        <v>0</v>
      </c>
      <c r="N1078" s="2"/>
      <c r="O1078" s="14">
        <v>24785</v>
      </c>
      <c r="P1078" s="55" t="s">
        <v>2863</v>
      </c>
      <c r="Q1078" s="14">
        <v>1236</v>
      </c>
      <c r="R1078" s="2"/>
      <c r="S1078" s="44">
        <f>[1]!DDIFF(1236,24785)</f>
        <v>23549</v>
      </c>
      <c r="T1078" s="2"/>
      <c r="U1078" s="1"/>
      <c r="V1078" s="62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  <c r="AL1078" s="1"/>
      <c r="AM1078" s="1"/>
      <c r="AN1078" s="1"/>
      <c r="AO1078" s="1"/>
      <c r="AP1078" s="1"/>
      <c r="AQ1078" s="1"/>
      <c r="AR1078" s="1"/>
      <c r="AS1078" s="1"/>
      <c r="AT1078" s="1"/>
      <c r="AU1078" s="1"/>
      <c r="AV1078" s="1"/>
      <c r="AW1078" s="1"/>
      <c r="AX1078" s="1"/>
      <c r="AY1078" s="1"/>
      <c r="AZ1078" s="1"/>
      <c r="BA1078" s="1"/>
      <c r="BB1078" s="1"/>
      <c r="BC1078" s="1"/>
      <c r="BD1078" s="1"/>
      <c r="BE1078" s="1"/>
      <c r="BF1078" s="1"/>
      <c r="BG1078" s="1"/>
      <c r="BH1078" s="1"/>
      <c r="BI1078" s="1"/>
      <c r="BJ1078" s="1"/>
      <c r="BK1078" s="1"/>
      <c r="BL1078" s="1"/>
      <c r="BM1078" s="1"/>
      <c r="BN1078" s="1"/>
      <c r="BO1078" s="1"/>
    </row>
    <row r="1079" spans="1:67" collapsed="1" x14ac:dyDescent="0.25">
      <c r="A1079" t="s">
        <v>2351</v>
      </c>
      <c r="E1079" s="42" t="s">
        <v>2352</v>
      </c>
      <c r="F1079" s="43" t="s">
        <v>2353</v>
      </c>
      <c r="G1079" s="14">
        <v>195134</v>
      </c>
      <c r="H1079" s="2"/>
      <c r="I1079" s="19"/>
      <c r="J1079" s="14">
        <v>65</v>
      </c>
      <c r="K1079" s="2"/>
      <c r="L1079" s="19"/>
      <c r="M1079" s="14">
        <v>0</v>
      </c>
      <c r="N1079" s="2"/>
      <c r="O1079" s="14">
        <v>195199</v>
      </c>
      <c r="P1079" s="55" t="s">
        <v>2863</v>
      </c>
      <c r="Q1079" s="14">
        <v>95313</v>
      </c>
      <c r="R1079" s="2"/>
      <c r="S1079" s="44">
        <f>[1]!DDIFF(95313,195199)</f>
        <v>99886</v>
      </c>
      <c r="T1079" s="2"/>
      <c r="U1079" s="1"/>
      <c r="V1079" s="62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  <c r="AL1079" s="1"/>
      <c r="AM1079" s="1"/>
      <c r="AN1079" s="1"/>
      <c r="AO1079" s="1"/>
      <c r="AP1079" s="1"/>
      <c r="AQ1079" s="1"/>
      <c r="AR1079" s="1"/>
      <c r="AS1079" s="1"/>
      <c r="AT1079" s="1"/>
      <c r="AU1079" s="1"/>
      <c r="AV1079" s="1"/>
      <c r="AW1079" s="1"/>
      <c r="AX1079" s="1"/>
      <c r="AY1079" s="1"/>
      <c r="AZ1079" s="1"/>
      <c r="BA1079" s="1"/>
      <c r="BB1079" s="1"/>
      <c r="BC1079" s="1"/>
      <c r="BD1079" s="1"/>
      <c r="BE1079" s="1"/>
      <c r="BF1079" s="1"/>
      <c r="BG1079" s="1"/>
      <c r="BH1079" s="1"/>
      <c r="BI1079" s="1"/>
      <c r="BJ1079" s="1"/>
      <c r="BK1079" s="1"/>
      <c r="BL1079" s="1"/>
      <c r="BM1079" s="1"/>
      <c r="BN1079" s="1"/>
      <c r="BO1079" s="1"/>
    </row>
    <row r="1080" spans="1:67" hidden="1" outlineLevel="1" x14ac:dyDescent="0.25">
      <c r="A1080" t="s">
        <v>2771</v>
      </c>
      <c r="E1080" s="7"/>
      <c r="F1080" s="10"/>
      <c r="G1080" s="14"/>
      <c r="H1080" s="2"/>
      <c r="I1080" s="54" t="s">
        <v>2736</v>
      </c>
      <c r="J1080" s="14">
        <v>65</v>
      </c>
      <c r="K1080" s="2"/>
      <c r="L1080" s="19"/>
      <c r="M1080" s="14"/>
      <c r="N1080" s="2"/>
      <c r="O1080" s="14"/>
      <c r="P1080" s="55"/>
      <c r="Q1080" s="14"/>
      <c r="R1080" s="2"/>
      <c r="S1080" s="14"/>
      <c r="T1080" s="2"/>
      <c r="U1080" s="1"/>
      <c r="V1080" s="62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  <c r="AJ1080" s="1"/>
      <c r="AK1080" s="1"/>
      <c r="AL1080" s="1"/>
      <c r="AM1080" s="1"/>
      <c r="AN1080" s="1"/>
      <c r="AO1080" s="1"/>
      <c r="AP1080" s="1"/>
      <c r="AQ1080" s="1"/>
      <c r="AR1080" s="1"/>
      <c r="AS1080" s="1"/>
      <c r="AT1080" s="1"/>
      <c r="AU1080" s="1"/>
      <c r="AV1080" s="1"/>
      <c r="AW1080" s="1"/>
      <c r="AX1080" s="1"/>
      <c r="AY1080" s="1"/>
      <c r="AZ1080" s="1"/>
      <c r="BA1080" s="1"/>
      <c r="BB1080" s="1"/>
      <c r="BC1080" s="1"/>
      <c r="BD1080" s="1"/>
      <c r="BE1080" s="1"/>
      <c r="BF1080" s="1"/>
      <c r="BG1080" s="1"/>
      <c r="BH1080" s="1"/>
      <c r="BI1080" s="1"/>
      <c r="BJ1080" s="1"/>
      <c r="BK1080" s="1"/>
      <c r="BL1080" s="1"/>
      <c r="BM1080" s="1"/>
      <c r="BN1080" s="1"/>
      <c r="BO1080" s="1"/>
    </row>
    <row r="1081" spans="1:67" collapsed="1" x14ac:dyDescent="0.25">
      <c r="A1081" t="s">
        <v>2354</v>
      </c>
      <c r="E1081" s="42" t="s">
        <v>2355</v>
      </c>
      <c r="F1081" s="43" t="s">
        <v>2356</v>
      </c>
      <c r="G1081" s="14">
        <v>340680</v>
      </c>
      <c r="H1081" s="2"/>
      <c r="I1081" s="19"/>
      <c r="J1081" s="14">
        <v>-8237</v>
      </c>
      <c r="K1081" s="2"/>
      <c r="L1081" s="19"/>
      <c r="M1081" s="14">
        <v>0</v>
      </c>
      <c r="N1081" s="2"/>
      <c r="O1081" s="14">
        <v>332443</v>
      </c>
      <c r="P1081" s="55" t="s">
        <v>2863</v>
      </c>
      <c r="Q1081" s="14">
        <v>217431</v>
      </c>
      <c r="R1081" s="2"/>
      <c r="S1081" s="44">
        <f>[1]!DDIFF(217431,332443)</f>
        <v>115012</v>
      </c>
      <c r="T1081" s="2"/>
      <c r="U1081" s="1"/>
      <c r="V1081" s="62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  <c r="AJ1081" s="1"/>
      <c r="AK1081" s="1"/>
      <c r="AL1081" s="1"/>
      <c r="AM1081" s="1"/>
      <c r="AN1081" s="1"/>
      <c r="AO1081" s="1"/>
      <c r="AP1081" s="1"/>
      <c r="AQ1081" s="1"/>
      <c r="AR1081" s="1"/>
      <c r="AS1081" s="1"/>
      <c r="AT1081" s="1"/>
      <c r="AU1081" s="1"/>
      <c r="AV1081" s="1"/>
      <c r="AW1081" s="1"/>
      <c r="AX1081" s="1"/>
      <c r="AY1081" s="1"/>
      <c r="AZ1081" s="1"/>
      <c r="BA1081" s="1"/>
      <c r="BB1081" s="1"/>
      <c r="BC1081" s="1"/>
      <c r="BD1081" s="1"/>
      <c r="BE1081" s="1"/>
      <c r="BF1081" s="1"/>
      <c r="BG1081" s="1"/>
      <c r="BH1081" s="1"/>
      <c r="BI1081" s="1"/>
      <c r="BJ1081" s="1"/>
      <c r="BK1081" s="1"/>
      <c r="BL1081" s="1"/>
      <c r="BM1081" s="1"/>
      <c r="BN1081" s="1"/>
      <c r="BO1081" s="1"/>
    </row>
    <row r="1082" spans="1:67" hidden="1" outlineLevel="1" x14ac:dyDescent="0.25">
      <c r="A1082" t="s">
        <v>2724</v>
      </c>
      <c r="E1082" s="7"/>
      <c r="F1082" s="10"/>
      <c r="G1082" s="14"/>
      <c r="H1082" s="2"/>
      <c r="I1082" s="54" t="s">
        <v>2701</v>
      </c>
      <c r="J1082" s="14">
        <v>-8237</v>
      </c>
      <c r="K1082" s="2"/>
      <c r="L1082" s="19"/>
      <c r="M1082" s="14"/>
      <c r="N1082" s="2"/>
      <c r="O1082" s="14"/>
      <c r="P1082" s="55"/>
      <c r="Q1082" s="14"/>
      <c r="R1082" s="2"/>
      <c r="S1082" s="14"/>
      <c r="T1082" s="2"/>
      <c r="U1082" s="1"/>
      <c r="V1082" s="62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  <c r="AJ1082" s="1"/>
      <c r="AK1082" s="1"/>
      <c r="AL1082" s="1"/>
      <c r="AM1082" s="1"/>
      <c r="AN1082" s="1"/>
      <c r="AO1082" s="1"/>
      <c r="AP1082" s="1"/>
      <c r="AQ1082" s="1"/>
      <c r="AR1082" s="1"/>
      <c r="AS1082" s="1"/>
      <c r="AT1082" s="1"/>
      <c r="AU1082" s="1"/>
      <c r="AV1082" s="1"/>
      <c r="AW1082" s="1"/>
      <c r="AX1082" s="1"/>
      <c r="AY1082" s="1"/>
      <c r="AZ1082" s="1"/>
      <c r="BA1082" s="1"/>
      <c r="BB1082" s="1"/>
      <c r="BC1082" s="1"/>
      <c r="BD1082" s="1"/>
      <c r="BE1082" s="1"/>
      <c r="BF1082" s="1"/>
      <c r="BG1082" s="1"/>
      <c r="BH1082" s="1"/>
      <c r="BI1082" s="1"/>
      <c r="BJ1082" s="1"/>
      <c r="BK1082" s="1"/>
      <c r="BL1082" s="1"/>
      <c r="BM1082" s="1"/>
      <c r="BN1082" s="1"/>
      <c r="BO1082" s="1"/>
    </row>
    <row r="1083" spans="1:67" hidden="1" x14ac:dyDescent="0.25">
      <c r="A1083" t="s">
        <v>2357</v>
      </c>
      <c r="E1083" s="42" t="s">
        <v>2358</v>
      </c>
      <c r="F1083" s="43" t="s">
        <v>2359</v>
      </c>
      <c r="G1083" s="14">
        <v>0</v>
      </c>
      <c r="H1083" s="2"/>
      <c r="I1083" s="19"/>
      <c r="J1083" s="14">
        <v>0</v>
      </c>
      <c r="K1083" s="2"/>
      <c r="L1083" s="19"/>
      <c r="M1083" s="14">
        <v>0</v>
      </c>
      <c r="N1083" s="2"/>
      <c r="O1083" s="14">
        <v>0</v>
      </c>
      <c r="P1083" s="55"/>
      <c r="Q1083" s="14">
        <v>0</v>
      </c>
      <c r="R1083" s="2"/>
      <c r="S1083" s="44">
        <f>[1]!DDIFF(0,0)</f>
        <v>0</v>
      </c>
      <c r="T1083" s="2"/>
      <c r="U1083" s="1"/>
      <c r="V1083" s="62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  <c r="AJ1083" s="1"/>
      <c r="AK1083" s="1"/>
      <c r="AL1083" s="1"/>
      <c r="AM1083" s="1"/>
      <c r="AN1083" s="1"/>
      <c r="AO1083" s="1"/>
      <c r="AP1083" s="1"/>
      <c r="AQ1083" s="1"/>
      <c r="AR1083" s="1"/>
      <c r="AS1083" s="1"/>
      <c r="AT1083" s="1"/>
      <c r="AU1083" s="1"/>
      <c r="AV1083" s="1"/>
      <c r="AW1083" s="1"/>
      <c r="AX1083" s="1"/>
      <c r="AY1083" s="1"/>
      <c r="AZ1083" s="1"/>
      <c r="BA1083" s="1"/>
      <c r="BB1083" s="1"/>
      <c r="BC1083" s="1"/>
      <c r="BD1083" s="1"/>
      <c r="BE1083" s="1"/>
      <c r="BF1083" s="1"/>
      <c r="BG1083" s="1"/>
      <c r="BH1083" s="1"/>
      <c r="BI1083" s="1"/>
      <c r="BJ1083" s="1"/>
      <c r="BK1083" s="1"/>
      <c r="BL1083" s="1"/>
      <c r="BM1083" s="1"/>
      <c r="BN1083" s="1"/>
      <c r="BO1083" s="1"/>
    </row>
    <row r="1084" spans="1:67" collapsed="1" x14ac:dyDescent="0.25">
      <c r="A1084" t="s">
        <v>2360</v>
      </c>
      <c r="E1084" s="42" t="s">
        <v>2361</v>
      </c>
      <c r="F1084" s="43" t="s">
        <v>2362</v>
      </c>
      <c r="G1084" s="14">
        <v>5210</v>
      </c>
      <c r="H1084" s="2"/>
      <c r="I1084" s="19"/>
      <c r="J1084" s="14">
        <v>-944</v>
      </c>
      <c r="K1084" s="2"/>
      <c r="L1084" s="19"/>
      <c r="M1084" s="14">
        <v>0</v>
      </c>
      <c r="N1084" s="2"/>
      <c r="O1084" s="14">
        <v>4266</v>
      </c>
      <c r="P1084" s="55" t="s">
        <v>2863</v>
      </c>
      <c r="Q1084" s="14">
        <v>2360</v>
      </c>
      <c r="R1084" s="2"/>
      <c r="S1084" s="44">
        <f>[1]!DDIFF(2360,4266)</f>
        <v>1906</v>
      </c>
      <c r="T1084" s="2"/>
      <c r="U1084" s="1"/>
      <c r="V1084" s="62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  <c r="AJ1084" s="1"/>
      <c r="AK1084" s="1"/>
      <c r="AL1084" s="1"/>
      <c r="AM1084" s="1"/>
      <c r="AN1084" s="1"/>
      <c r="AO1084" s="1"/>
      <c r="AP1084" s="1"/>
      <c r="AQ1084" s="1"/>
      <c r="AR1084" s="1"/>
      <c r="AS1084" s="1"/>
      <c r="AT1084" s="1"/>
      <c r="AU1084" s="1"/>
      <c r="AV1084" s="1"/>
      <c r="AW1084" s="1"/>
      <c r="AX1084" s="1"/>
      <c r="AY1084" s="1"/>
      <c r="AZ1084" s="1"/>
      <c r="BA1084" s="1"/>
      <c r="BB1084" s="1"/>
      <c r="BC1084" s="1"/>
      <c r="BD1084" s="1"/>
      <c r="BE1084" s="1"/>
      <c r="BF1084" s="1"/>
      <c r="BG1084" s="1"/>
      <c r="BH1084" s="1"/>
      <c r="BI1084" s="1"/>
      <c r="BJ1084" s="1"/>
      <c r="BK1084" s="1"/>
      <c r="BL1084" s="1"/>
      <c r="BM1084" s="1"/>
      <c r="BN1084" s="1"/>
      <c r="BO1084" s="1"/>
    </row>
    <row r="1085" spans="1:67" hidden="1" outlineLevel="1" x14ac:dyDescent="0.25">
      <c r="A1085" t="s">
        <v>2725</v>
      </c>
      <c r="E1085" s="7"/>
      <c r="F1085" s="10"/>
      <c r="G1085" s="14"/>
      <c r="H1085" s="2"/>
      <c r="I1085" s="54" t="s">
        <v>2701</v>
      </c>
      <c r="J1085" s="14">
        <v>-944</v>
      </c>
      <c r="K1085" s="2"/>
      <c r="L1085" s="19"/>
      <c r="M1085" s="14"/>
      <c r="N1085" s="2"/>
      <c r="O1085" s="14"/>
      <c r="P1085" s="55"/>
      <c r="Q1085" s="14"/>
      <c r="R1085" s="2"/>
      <c r="S1085" s="14"/>
      <c r="T1085" s="2"/>
      <c r="U1085" s="1"/>
      <c r="V1085" s="62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  <c r="AJ1085" s="1"/>
      <c r="AK1085" s="1"/>
      <c r="AL1085" s="1"/>
      <c r="AM1085" s="1"/>
      <c r="AN1085" s="1"/>
      <c r="AO1085" s="1"/>
      <c r="AP1085" s="1"/>
      <c r="AQ1085" s="1"/>
      <c r="AR1085" s="1"/>
      <c r="AS1085" s="1"/>
      <c r="AT1085" s="1"/>
      <c r="AU1085" s="1"/>
      <c r="AV1085" s="1"/>
      <c r="AW1085" s="1"/>
      <c r="AX1085" s="1"/>
      <c r="AY1085" s="1"/>
      <c r="AZ1085" s="1"/>
      <c r="BA1085" s="1"/>
      <c r="BB1085" s="1"/>
      <c r="BC1085" s="1"/>
      <c r="BD1085" s="1"/>
      <c r="BE1085" s="1"/>
      <c r="BF1085" s="1"/>
      <c r="BG1085" s="1"/>
      <c r="BH1085" s="1"/>
      <c r="BI1085" s="1"/>
      <c r="BJ1085" s="1"/>
      <c r="BK1085" s="1"/>
      <c r="BL1085" s="1"/>
      <c r="BM1085" s="1"/>
      <c r="BN1085" s="1"/>
      <c r="BO1085" s="1"/>
    </row>
    <row r="1086" spans="1:67" collapsed="1" x14ac:dyDescent="0.25">
      <c r="A1086" t="s">
        <v>2363</v>
      </c>
      <c r="E1086" s="42" t="s">
        <v>2364</v>
      </c>
      <c r="F1086" s="43" t="s">
        <v>2365</v>
      </c>
      <c r="G1086" s="14">
        <v>585</v>
      </c>
      <c r="H1086" s="2"/>
      <c r="I1086" s="19"/>
      <c r="J1086" s="14">
        <v>-397</v>
      </c>
      <c r="K1086" s="2"/>
      <c r="L1086" s="19"/>
      <c r="M1086" s="14">
        <v>0</v>
      </c>
      <c r="N1086" s="2"/>
      <c r="O1086" s="14">
        <v>188</v>
      </c>
      <c r="P1086" s="55" t="s">
        <v>2863</v>
      </c>
      <c r="Q1086" s="14">
        <v>786</v>
      </c>
      <c r="R1086" s="2"/>
      <c r="S1086" s="44">
        <f>[1]!DDIFF(786,188)</f>
        <v>-598</v>
      </c>
      <c r="T1086" s="2"/>
      <c r="U1086" s="1"/>
      <c r="V1086" s="62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  <c r="AJ1086" s="1"/>
      <c r="AK1086" s="1"/>
      <c r="AL1086" s="1"/>
      <c r="AM1086" s="1"/>
      <c r="AN1086" s="1"/>
      <c r="AO1086" s="1"/>
      <c r="AP1086" s="1"/>
      <c r="AQ1086" s="1"/>
      <c r="AR1086" s="1"/>
      <c r="AS1086" s="1"/>
      <c r="AT1086" s="1"/>
      <c r="AU1086" s="1"/>
      <c r="AV1086" s="1"/>
      <c r="AW1086" s="1"/>
      <c r="AX1086" s="1"/>
      <c r="AY1086" s="1"/>
      <c r="AZ1086" s="1"/>
      <c r="BA1086" s="1"/>
      <c r="BB1086" s="1"/>
      <c r="BC1086" s="1"/>
      <c r="BD1086" s="1"/>
      <c r="BE1086" s="1"/>
      <c r="BF1086" s="1"/>
      <c r="BG1086" s="1"/>
      <c r="BH1086" s="1"/>
      <c r="BI1086" s="1"/>
      <c r="BJ1086" s="1"/>
      <c r="BK1086" s="1"/>
      <c r="BL1086" s="1"/>
      <c r="BM1086" s="1"/>
      <c r="BN1086" s="1"/>
      <c r="BO1086" s="1"/>
    </row>
    <row r="1087" spans="1:67" hidden="1" outlineLevel="1" x14ac:dyDescent="0.25">
      <c r="A1087" t="s">
        <v>2726</v>
      </c>
      <c r="E1087" s="7"/>
      <c r="F1087" s="10"/>
      <c r="G1087" s="14"/>
      <c r="H1087" s="2"/>
      <c r="I1087" s="54" t="s">
        <v>2701</v>
      </c>
      <c r="J1087" s="14">
        <v>-397</v>
      </c>
      <c r="K1087" s="2"/>
      <c r="L1087" s="19"/>
      <c r="M1087" s="14"/>
      <c r="N1087" s="2"/>
      <c r="O1087" s="14"/>
      <c r="P1087" s="55"/>
      <c r="Q1087" s="14"/>
      <c r="R1087" s="2"/>
      <c r="S1087" s="14"/>
      <c r="T1087" s="2"/>
      <c r="U1087" s="1"/>
      <c r="V1087" s="62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  <c r="AJ1087" s="1"/>
      <c r="AK1087" s="1"/>
      <c r="AL1087" s="1"/>
      <c r="AM1087" s="1"/>
      <c r="AN1087" s="1"/>
      <c r="AO1087" s="1"/>
      <c r="AP1087" s="1"/>
      <c r="AQ1087" s="1"/>
      <c r="AR1087" s="1"/>
      <c r="AS1087" s="1"/>
      <c r="AT1087" s="1"/>
      <c r="AU1087" s="1"/>
      <c r="AV1087" s="1"/>
      <c r="AW1087" s="1"/>
      <c r="AX1087" s="1"/>
      <c r="AY1087" s="1"/>
      <c r="AZ1087" s="1"/>
      <c r="BA1087" s="1"/>
      <c r="BB1087" s="1"/>
      <c r="BC1087" s="1"/>
      <c r="BD1087" s="1"/>
      <c r="BE1087" s="1"/>
      <c r="BF1087" s="1"/>
      <c r="BG1087" s="1"/>
      <c r="BH1087" s="1"/>
      <c r="BI1087" s="1"/>
      <c r="BJ1087" s="1"/>
      <c r="BK1087" s="1"/>
      <c r="BL1087" s="1"/>
      <c r="BM1087" s="1"/>
      <c r="BN1087" s="1"/>
      <c r="BO1087" s="1"/>
    </row>
    <row r="1088" spans="1:67" collapsed="1" x14ac:dyDescent="0.25">
      <c r="A1088" t="s">
        <v>2366</v>
      </c>
      <c r="E1088" s="42" t="s">
        <v>2367</v>
      </c>
      <c r="F1088" s="43" t="s">
        <v>2368</v>
      </c>
      <c r="G1088" s="14">
        <v>193377</v>
      </c>
      <c r="H1088" s="2"/>
      <c r="I1088" s="19"/>
      <c r="J1088" s="14">
        <v>-2746</v>
      </c>
      <c r="K1088" s="2"/>
      <c r="L1088" s="19"/>
      <c r="M1088" s="14">
        <v>0</v>
      </c>
      <c r="N1088" s="2"/>
      <c r="O1088" s="14">
        <v>190631</v>
      </c>
      <c r="P1088" s="55" t="s">
        <v>2863</v>
      </c>
      <c r="Q1088" s="14">
        <v>85695</v>
      </c>
      <c r="R1088" s="2"/>
      <c r="S1088" s="44">
        <f>[1]!DDIFF(85695,190631)</f>
        <v>104936</v>
      </c>
      <c r="T1088" s="2"/>
      <c r="U1088" s="1"/>
      <c r="V1088" s="62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  <c r="AL1088" s="1"/>
      <c r="AM1088" s="1"/>
      <c r="AN1088" s="1"/>
      <c r="AO1088" s="1"/>
      <c r="AP1088" s="1"/>
      <c r="AQ1088" s="1"/>
      <c r="AR1088" s="1"/>
      <c r="AS1088" s="1"/>
      <c r="AT1088" s="1"/>
      <c r="AU1088" s="1"/>
      <c r="AV1088" s="1"/>
      <c r="AW1088" s="1"/>
      <c r="AX1088" s="1"/>
      <c r="AY1088" s="1"/>
      <c r="AZ1088" s="1"/>
      <c r="BA1088" s="1"/>
      <c r="BB1088" s="1"/>
      <c r="BC1088" s="1"/>
      <c r="BD1088" s="1"/>
      <c r="BE1088" s="1"/>
      <c r="BF1088" s="1"/>
      <c r="BG1088" s="1"/>
      <c r="BH1088" s="1"/>
      <c r="BI1088" s="1"/>
      <c r="BJ1088" s="1"/>
      <c r="BK1088" s="1"/>
      <c r="BL1088" s="1"/>
      <c r="BM1088" s="1"/>
      <c r="BN1088" s="1"/>
      <c r="BO1088" s="1"/>
    </row>
    <row r="1089" spans="1:67" hidden="1" outlineLevel="1" x14ac:dyDescent="0.25">
      <c r="A1089" t="s">
        <v>2727</v>
      </c>
      <c r="E1089" s="7"/>
      <c r="F1089" s="10"/>
      <c r="G1089" s="14"/>
      <c r="H1089" s="2"/>
      <c r="I1089" s="54" t="s">
        <v>2701</v>
      </c>
      <c r="J1089" s="14">
        <v>-2746</v>
      </c>
      <c r="K1089" s="2"/>
      <c r="L1089" s="19"/>
      <c r="M1089" s="14"/>
      <c r="N1089" s="2"/>
      <c r="O1089" s="14"/>
      <c r="P1089" s="55"/>
      <c r="Q1089" s="14"/>
      <c r="R1089" s="2"/>
      <c r="S1089" s="14"/>
      <c r="T1089" s="2"/>
      <c r="U1089" s="1"/>
      <c r="V1089" s="62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  <c r="AJ1089" s="1"/>
      <c r="AK1089" s="1"/>
      <c r="AL1089" s="1"/>
      <c r="AM1089" s="1"/>
      <c r="AN1089" s="1"/>
      <c r="AO1089" s="1"/>
      <c r="AP1089" s="1"/>
      <c r="AQ1089" s="1"/>
      <c r="AR1089" s="1"/>
      <c r="AS1089" s="1"/>
      <c r="AT1089" s="1"/>
      <c r="AU1089" s="1"/>
      <c r="AV1089" s="1"/>
      <c r="AW1089" s="1"/>
      <c r="AX1089" s="1"/>
      <c r="AY1089" s="1"/>
      <c r="AZ1089" s="1"/>
      <c r="BA1089" s="1"/>
      <c r="BB1089" s="1"/>
      <c r="BC1089" s="1"/>
      <c r="BD1089" s="1"/>
      <c r="BE1089" s="1"/>
      <c r="BF1089" s="1"/>
      <c r="BG1089" s="1"/>
      <c r="BH1089" s="1"/>
      <c r="BI1089" s="1"/>
      <c r="BJ1089" s="1"/>
      <c r="BK1089" s="1"/>
      <c r="BL1089" s="1"/>
      <c r="BM1089" s="1"/>
      <c r="BN1089" s="1"/>
      <c r="BO1089" s="1"/>
    </row>
    <row r="1090" spans="1:67" x14ac:dyDescent="0.25">
      <c r="A1090" t="s">
        <v>2369</v>
      </c>
      <c r="E1090" s="42" t="s">
        <v>2370</v>
      </c>
      <c r="F1090" s="43" t="s">
        <v>2371</v>
      </c>
      <c r="G1090" s="14">
        <v>1911</v>
      </c>
      <c r="H1090" s="2"/>
      <c r="I1090" s="19"/>
      <c r="J1090" s="14">
        <v>0</v>
      </c>
      <c r="K1090" s="2"/>
      <c r="L1090" s="19"/>
      <c r="M1090" s="14">
        <v>0</v>
      </c>
      <c r="N1090" s="2"/>
      <c r="O1090" s="14">
        <v>1911</v>
      </c>
      <c r="P1090" s="55" t="s">
        <v>2863</v>
      </c>
      <c r="Q1090" s="14">
        <v>5709</v>
      </c>
      <c r="R1090" s="2"/>
      <c r="S1090" s="44">
        <f>[1]!DDIFF(5709,1911)</f>
        <v>-3798</v>
      </c>
      <c r="T1090" s="2"/>
      <c r="U1090" s="1"/>
      <c r="V1090" s="62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  <c r="AJ1090" s="1"/>
      <c r="AK1090" s="1"/>
      <c r="AL1090" s="1"/>
      <c r="AM1090" s="1"/>
      <c r="AN1090" s="1"/>
      <c r="AO1090" s="1"/>
      <c r="AP1090" s="1"/>
      <c r="AQ1090" s="1"/>
      <c r="AR1090" s="1"/>
      <c r="AS1090" s="1"/>
      <c r="AT1090" s="1"/>
      <c r="AU1090" s="1"/>
      <c r="AV1090" s="1"/>
      <c r="AW1090" s="1"/>
      <c r="AX1090" s="1"/>
      <c r="AY1090" s="1"/>
      <c r="AZ1090" s="1"/>
      <c r="BA1090" s="1"/>
      <c r="BB1090" s="1"/>
      <c r="BC1090" s="1"/>
      <c r="BD1090" s="1"/>
      <c r="BE1090" s="1"/>
      <c r="BF1090" s="1"/>
      <c r="BG1090" s="1"/>
      <c r="BH1090" s="1"/>
      <c r="BI1090" s="1"/>
      <c r="BJ1090" s="1"/>
      <c r="BK1090" s="1"/>
      <c r="BL1090" s="1"/>
      <c r="BM1090" s="1"/>
      <c r="BN1090" s="1"/>
      <c r="BO1090" s="1"/>
    </row>
    <row r="1091" spans="1:67" collapsed="1" x14ac:dyDescent="0.25">
      <c r="A1091" t="s">
        <v>2372</v>
      </c>
      <c r="E1091" s="42" t="s">
        <v>2373</v>
      </c>
      <c r="F1091" s="43" t="s">
        <v>2374</v>
      </c>
      <c r="G1091" s="14">
        <v>3329</v>
      </c>
      <c r="H1091" s="2"/>
      <c r="I1091" s="19"/>
      <c r="J1091" s="14">
        <v>-17</v>
      </c>
      <c r="K1091" s="2"/>
      <c r="L1091" s="19"/>
      <c r="M1091" s="14">
        <v>0</v>
      </c>
      <c r="N1091" s="2"/>
      <c r="O1091" s="14">
        <v>3312</v>
      </c>
      <c r="P1091" s="55" t="s">
        <v>2863</v>
      </c>
      <c r="Q1091" s="14">
        <v>11222</v>
      </c>
      <c r="R1091" s="2"/>
      <c r="S1091" s="44">
        <f>[1]!DDIFF(11222,3312)</f>
        <v>-7910</v>
      </c>
      <c r="T1091" s="2"/>
      <c r="U1091" s="1"/>
      <c r="V1091" s="62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  <c r="AJ1091" s="1"/>
      <c r="AK1091" s="1"/>
      <c r="AL1091" s="1"/>
      <c r="AM1091" s="1"/>
      <c r="AN1091" s="1"/>
      <c r="AO1091" s="1"/>
      <c r="AP1091" s="1"/>
      <c r="AQ1091" s="1"/>
      <c r="AR1091" s="1"/>
      <c r="AS1091" s="1"/>
      <c r="AT1091" s="1"/>
      <c r="AU1091" s="1"/>
      <c r="AV1091" s="1"/>
      <c r="AW1091" s="1"/>
      <c r="AX1091" s="1"/>
      <c r="AY1091" s="1"/>
      <c r="AZ1091" s="1"/>
      <c r="BA1091" s="1"/>
      <c r="BB1091" s="1"/>
      <c r="BC1091" s="1"/>
      <c r="BD1091" s="1"/>
      <c r="BE1091" s="1"/>
      <c r="BF1091" s="1"/>
      <c r="BG1091" s="1"/>
      <c r="BH1091" s="1"/>
      <c r="BI1091" s="1"/>
      <c r="BJ1091" s="1"/>
      <c r="BK1091" s="1"/>
      <c r="BL1091" s="1"/>
      <c r="BM1091" s="1"/>
      <c r="BN1091" s="1"/>
      <c r="BO1091" s="1"/>
    </row>
    <row r="1092" spans="1:67" hidden="1" outlineLevel="1" x14ac:dyDescent="0.25">
      <c r="A1092" t="s">
        <v>2728</v>
      </c>
      <c r="E1092" s="7"/>
      <c r="F1092" s="10"/>
      <c r="G1092" s="14"/>
      <c r="H1092" s="2"/>
      <c r="I1092" s="54" t="s">
        <v>2701</v>
      </c>
      <c r="J1092" s="14">
        <v>-17</v>
      </c>
      <c r="K1092" s="2"/>
      <c r="L1092" s="19"/>
      <c r="M1092" s="14"/>
      <c r="N1092" s="2"/>
      <c r="O1092" s="14"/>
      <c r="P1092" s="55"/>
      <c r="Q1092" s="14"/>
      <c r="R1092" s="2"/>
      <c r="S1092" s="14"/>
      <c r="T1092" s="2"/>
      <c r="U1092" s="1"/>
      <c r="V1092" s="62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  <c r="AJ1092" s="1"/>
      <c r="AK1092" s="1"/>
      <c r="AL1092" s="1"/>
      <c r="AM1092" s="1"/>
      <c r="AN1092" s="1"/>
      <c r="AO1092" s="1"/>
      <c r="AP1092" s="1"/>
      <c r="AQ1092" s="1"/>
      <c r="AR1092" s="1"/>
      <c r="AS1092" s="1"/>
      <c r="AT1092" s="1"/>
      <c r="AU1092" s="1"/>
      <c r="AV1092" s="1"/>
      <c r="AW1092" s="1"/>
      <c r="AX1092" s="1"/>
      <c r="AY1092" s="1"/>
      <c r="AZ1092" s="1"/>
      <c r="BA1092" s="1"/>
      <c r="BB1092" s="1"/>
      <c r="BC1092" s="1"/>
      <c r="BD1092" s="1"/>
      <c r="BE1092" s="1"/>
      <c r="BF1092" s="1"/>
      <c r="BG1092" s="1"/>
      <c r="BH1092" s="1"/>
      <c r="BI1092" s="1"/>
      <c r="BJ1092" s="1"/>
      <c r="BK1092" s="1"/>
      <c r="BL1092" s="1"/>
      <c r="BM1092" s="1"/>
      <c r="BN1092" s="1"/>
      <c r="BO1092" s="1"/>
    </row>
    <row r="1093" spans="1:67" collapsed="1" x14ac:dyDescent="0.25">
      <c r="A1093" t="s">
        <v>2375</v>
      </c>
      <c r="E1093" s="42" t="s">
        <v>2376</v>
      </c>
      <c r="F1093" s="43" t="s">
        <v>2377</v>
      </c>
      <c r="G1093" s="14">
        <v>40988</v>
      </c>
      <c r="H1093" s="2"/>
      <c r="I1093" s="19"/>
      <c r="J1093" s="14">
        <v>-186</v>
      </c>
      <c r="K1093" s="2"/>
      <c r="L1093" s="19"/>
      <c r="M1093" s="14">
        <v>0</v>
      </c>
      <c r="N1093" s="2"/>
      <c r="O1093" s="14">
        <v>40802</v>
      </c>
      <c r="P1093" s="55" t="s">
        <v>2863</v>
      </c>
      <c r="Q1093" s="14">
        <v>63412</v>
      </c>
      <c r="R1093" s="2"/>
      <c r="S1093" s="44">
        <f>[1]!DDIFF(63412,40802)</f>
        <v>-22610</v>
      </c>
      <c r="T1093" s="2"/>
      <c r="U1093" s="1"/>
      <c r="V1093" s="62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  <c r="AJ1093" s="1"/>
      <c r="AK1093" s="1"/>
      <c r="AL1093" s="1"/>
      <c r="AM1093" s="1"/>
      <c r="AN1093" s="1"/>
      <c r="AO1093" s="1"/>
      <c r="AP1093" s="1"/>
      <c r="AQ1093" s="1"/>
      <c r="AR1093" s="1"/>
      <c r="AS1093" s="1"/>
      <c r="AT1093" s="1"/>
      <c r="AU1093" s="1"/>
      <c r="AV1093" s="1"/>
      <c r="AW1093" s="1"/>
      <c r="AX1093" s="1"/>
      <c r="AY1093" s="1"/>
      <c r="AZ1093" s="1"/>
      <c r="BA1093" s="1"/>
      <c r="BB1093" s="1"/>
      <c r="BC1093" s="1"/>
      <c r="BD1093" s="1"/>
      <c r="BE1093" s="1"/>
      <c r="BF1093" s="1"/>
      <c r="BG1093" s="1"/>
      <c r="BH1093" s="1"/>
      <c r="BI1093" s="1"/>
      <c r="BJ1093" s="1"/>
      <c r="BK1093" s="1"/>
      <c r="BL1093" s="1"/>
      <c r="BM1093" s="1"/>
      <c r="BN1093" s="1"/>
      <c r="BO1093" s="1"/>
    </row>
    <row r="1094" spans="1:67" hidden="1" outlineLevel="1" x14ac:dyDescent="0.25">
      <c r="A1094" t="s">
        <v>2729</v>
      </c>
      <c r="E1094" s="7"/>
      <c r="F1094" s="10"/>
      <c r="G1094" s="14"/>
      <c r="H1094" s="2"/>
      <c r="I1094" s="54" t="s">
        <v>2701</v>
      </c>
      <c r="J1094" s="14">
        <v>-186</v>
      </c>
      <c r="K1094" s="2"/>
      <c r="L1094" s="19"/>
      <c r="M1094" s="14"/>
      <c r="N1094" s="2"/>
      <c r="O1094" s="14"/>
      <c r="P1094" s="55"/>
      <c r="Q1094" s="14"/>
      <c r="R1094" s="2"/>
      <c r="S1094" s="14"/>
      <c r="T1094" s="2"/>
      <c r="U1094" s="1"/>
      <c r="V1094" s="62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  <c r="AJ1094" s="1"/>
      <c r="AK1094" s="1"/>
      <c r="AL1094" s="1"/>
      <c r="AM1094" s="1"/>
      <c r="AN1094" s="1"/>
      <c r="AO1094" s="1"/>
      <c r="AP1094" s="1"/>
      <c r="AQ1094" s="1"/>
      <c r="AR1094" s="1"/>
      <c r="AS1094" s="1"/>
      <c r="AT1094" s="1"/>
      <c r="AU1094" s="1"/>
      <c r="AV1094" s="1"/>
      <c r="AW1094" s="1"/>
      <c r="AX1094" s="1"/>
      <c r="AY1094" s="1"/>
      <c r="AZ1094" s="1"/>
      <c r="BA1094" s="1"/>
      <c r="BB1094" s="1"/>
      <c r="BC1094" s="1"/>
      <c r="BD1094" s="1"/>
      <c r="BE1094" s="1"/>
      <c r="BF1094" s="1"/>
      <c r="BG1094" s="1"/>
      <c r="BH1094" s="1"/>
      <c r="BI1094" s="1"/>
      <c r="BJ1094" s="1"/>
      <c r="BK1094" s="1"/>
      <c r="BL1094" s="1"/>
      <c r="BM1094" s="1"/>
      <c r="BN1094" s="1"/>
      <c r="BO1094" s="1"/>
    </row>
    <row r="1095" spans="1:67" hidden="1" x14ac:dyDescent="0.25">
      <c r="A1095" t="s">
        <v>2378</v>
      </c>
      <c r="E1095" s="42" t="s">
        <v>2379</v>
      </c>
      <c r="F1095" s="43" t="s">
        <v>2380</v>
      </c>
      <c r="G1095" s="14">
        <v>0</v>
      </c>
      <c r="H1095" s="2"/>
      <c r="I1095" s="19"/>
      <c r="J1095" s="14">
        <v>0</v>
      </c>
      <c r="K1095" s="2"/>
      <c r="L1095" s="19"/>
      <c r="M1095" s="14">
        <v>0</v>
      </c>
      <c r="N1095" s="2"/>
      <c r="O1095" s="14">
        <v>0</v>
      </c>
      <c r="P1095" s="55"/>
      <c r="Q1095" s="14">
        <v>0</v>
      </c>
      <c r="R1095" s="2"/>
      <c r="S1095" s="44">
        <f>[1]!DDIFF(0,0)</f>
        <v>0</v>
      </c>
      <c r="T1095" s="2"/>
      <c r="U1095" s="1"/>
      <c r="V1095" s="62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  <c r="AJ1095" s="1"/>
      <c r="AK1095" s="1"/>
      <c r="AL1095" s="1"/>
      <c r="AM1095" s="1"/>
      <c r="AN1095" s="1"/>
      <c r="AO1095" s="1"/>
      <c r="AP1095" s="1"/>
      <c r="AQ1095" s="1"/>
      <c r="AR1095" s="1"/>
      <c r="AS1095" s="1"/>
      <c r="AT1095" s="1"/>
      <c r="AU1095" s="1"/>
      <c r="AV1095" s="1"/>
      <c r="AW1095" s="1"/>
      <c r="AX1095" s="1"/>
      <c r="AY1095" s="1"/>
      <c r="AZ1095" s="1"/>
      <c r="BA1095" s="1"/>
      <c r="BB1095" s="1"/>
      <c r="BC1095" s="1"/>
      <c r="BD1095" s="1"/>
      <c r="BE1095" s="1"/>
      <c r="BF1095" s="1"/>
      <c r="BG1095" s="1"/>
      <c r="BH1095" s="1"/>
      <c r="BI1095" s="1"/>
      <c r="BJ1095" s="1"/>
      <c r="BK1095" s="1"/>
      <c r="BL1095" s="1"/>
      <c r="BM1095" s="1"/>
      <c r="BN1095" s="1"/>
      <c r="BO1095" s="1"/>
    </row>
    <row r="1096" spans="1:67" hidden="1" x14ac:dyDescent="0.25">
      <c r="A1096" t="s">
        <v>2384</v>
      </c>
      <c r="E1096" s="42" t="s">
        <v>2385</v>
      </c>
      <c r="F1096" s="43" t="s">
        <v>2386</v>
      </c>
      <c r="G1096" s="14">
        <v>0</v>
      </c>
      <c r="H1096" s="2"/>
      <c r="I1096" s="19"/>
      <c r="J1096" s="14">
        <v>0</v>
      </c>
      <c r="K1096" s="2"/>
      <c r="L1096" s="19"/>
      <c r="M1096" s="14">
        <v>0</v>
      </c>
      <c r="N1096" s="2"/>
      <c r="O1096" s="14">
        <v>0</v>
      </c>
      <c r="P1096" s="55"/>
      <c r="Q1096" s="14">
        <v>0</v>
      </c>
      <c r="R1096" s="2"/>
      <c r="S1096" s="44">
        <f>[1]!DDIFF(0,0)</f>
        <v>0</v>
      </c>
      <c r="T1096" s="2"/>
      <c r="U1096" s="1"/>
      <c r="V1096" s="62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  <c r="AL1096" s="1"/>
      <c r="AM1096" s="1"/>
      <c r="AN1096" s="1"/>
      <c r="AO1096" s="1"/>
      <c r="AP1096" s="1"/>
      <c r="AQ1096" s="1"/>
      <c r="AR1096" s="1"/>
      <c r="AS1096" s="1"/>
      <c r="AT1096" s="1"/>
      <c r="AU1096" s="1"/>
      <c r="AV1096" s="1"/>
      <c r="AW1096" s="1"/>
      <c r="AX1096" s="1"/>
      <c r="AY1096" s="1"/>
      <c r="AZ1096" s="1"/>
      <c r="BA1096" s="1"/>
      <c r="BB1096" s="1"/>
      <c r="BC1096" s="1"/>
      <c r="BD1096" s="1"/>
      <c r="BE1096" s="1"/>
      <c r="BF1096" s="1"/>
      <c r="BG1096" s="1"/>
      <c r="BH1096" s="1"/>
      <c r="BI1096" s="1"/>
      <c r="BJ1096" s="1"/>
      <c r="BK1096" s="1"/>
      <c r="BL1096" s="1"/>
      <c r="BM1096" s="1"/>
      <c r="BN1096" s="1"/>
      <c r="BO1096" s="1"/>
    </row>
    <row r="1097" spans="1:67" hidden="1" x14ac:dyDescent="0.25">
      <c r="A1097" t="s">
        <v>2387</v>
      </c>
      <c r="E1097" s="42" t="s">
        <v>2388</v>
      </c>
      <c r="F1097" s="43" t="s">
        <v>1813</v>
      </c>
      <c r="G1097" s="14">
        <v>0</v>
      </c>
      <c r="H1097" s="2"/>
      <c r="I1097" s="19"/>
      <c r="J1097" s="14">
        <v>0</v>
      </c>
      <c r="K1097" s="2"/>
      <c r="L1097" s="19"/>
      <c r="M1097" s="14">
        <v>0</v>
      </c>
      <c r="N1097" s="2"/>
      <c r="O1097" s="14">
        <v>0</v>
      </c>
      <c r="P1097" s="55"/>
      <c r="Q1097" s="14">
        <v>0</v>
      </c>
      <c r="R1097" s="2"/>
      <c r="S1097" s="44">
        <f>[1]!DDIFF(0,0)</f>
        <v>0</v>
      </c>
      <c r="T1097" s="2"/>
      <c r="U1097" s="1"/>
      <c r="V1097" s="62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  <c r="AL1097" s="1"/>
      <c r="AM1097" s="1"/>
      <c r="AN1097" s="1"/>
      <c r="AO1097" s="1"/>
      <c r="AP1097" s="1"/>
      <c r="AQ1097" s="1"/>
      <c r="AR1097" s="1"/>
      <c r="AS1097" s="1"/>
      <c r="AT1097" s="1"/>
      <c r="AU1097" s="1"/>
      <c r="AV1097" s="1"/>
      <c r="AW1097" s="1"/>
      <c r="AX1097" s="1"/>
      <c r="AY1097" s="1"/>
      <c r="AZ1097" s="1"/>
      <c r="BA1097" s="1"/>
      <c r="BB1097" s="1"/>
      <c r="BC1097" s="1"/>
      <c r="BD1097" s="1"/>
      <c r="BE1097" s="1"/>
      <c r="BF1097" s="1"/>
      <c r="BG1097" s="1"/>
      <c r="BH1097" s="1"/>
      <c r="BI1097" s="1"/>
      <c r="BJ1097" s="1"/>
      <c r="BK1097" s="1"/>
      <c r="BL1097" s="1"/>
      <c r="BM1097" s="1"/>
      <c r="BN1097" s="1"/>
      <c r="BO1097" s="1"/>
    </row>
    <row r="1098" spans="1:67" hidden="1" x14ac:dyDescent="0.25">
      <c r="A1098" t="s">
        <v>2389</v>
      </c>
      <c r="E1098" s="42" t="s">
        <v>2390</v>
      </c>
      <c r="F1098" s="43" t="s">
        <v>2391</v>
      </c>
      <c r="G1098" s="14">
        <v>0</v>
      </c>
      <c r="H1098" s="2"/>
      <c r="I1098" s="19"/>
      <c r="J1098" s="14">
        <v>0</v>
      </c>
      <c r="K1098" s="2"/>
      <c r="L1098" s="19"/>
      <c r="M1098" s="14">
        <v>0</v>
      </c>
      <c r="N1098" s="2"/>
      <c r="O1098" s="14">
        <v>0</v>
      </c>
      <c r="P1098" s="55"/>
      <c r="Q1098" s="14">
        <v>0</v>
      </c>
      <c r="R1098" s="2"/>
      <c r="S1098" s="44">
        <f>[1]!DDIFF(0,0)</f>
        <v>0</v>
      </c>
      <c r="T1098" s="2"/>
      <c r="U1098" s="1"/>
      <c r="V1098" s="62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  <c r="AL1098" s="1"/>
      <c r="AM1098" s="1"/>
      <c r="AN1098" s="1"/>
      <c r="AO1098" s="1"/>
      <c r="AP1098" s="1"/>
      <c r="AQ1098" s="1"/>
      <c r="AR1098" s="1"/>
      <c r="AS1098" s="1"/>
      <c r="AT1098" s="1"/>
      <c r="AU1098" s="1"/>
      <c r="AV1098" s="1"/>
      <c r="AW1098" s="1"/>
      <c r="AX1098" s="1"/>
      <c r="AY1098" s="1"/>
      <c r="AZ1098" s="1"/>
      <c r="BA1098" s="1"/>
      <c r="BB1098" s="1"/>
      <c r="BC1098" s="1"/>
      <c r="BD1098" s="1"/>
      <c r="BE1098" s="1"/>
      <c r="BF1098" s="1"/>
      <c r="BG1098" s="1"/>
      <c r="BH1098" s="1"/>
      <c r="BI1098" s="1"/>
      <c r="BJ1098" s="1"/>
      <c r="BK1098" s="1"/>
      <c r="BL1098" s="1"/>
      <c r="BM1098" s="1"/>
      <c r="BN1098" s="1"/>
      <c r="BO1098" s="1"/>
    </row>
    <row r="1099" spans="1:67" hidden="1" x14ac:dyDescent="0.25">
      <c r="A1099" t="s">
        <v>2392</v>
      </c>
      <c r="E1099" s="42" t="s">
        <v>2393</v>
      </c>
      <c r="F1099" s="43" t="s">
        <v>2394</v>
      </c>
      <c r="G1099" s="14">
        <v>0</v>
      </c>
      <c r="H1099" s="2"/>
      <c r="I1099" s="19"/>
      <c r="J1099" s="14">
        <v>0</v>
      </c>
      <c r="K1099" s="2"/>
      <c r="L1099" s="19"/>
      <c r="M1099" s="14">
        <v>0</v>
      </c>
      <c r="N1099" s="2"/>
      <c r="O1099" s="14">
        <v>0</v>
      </c>
      <c r="P1099" s="55"/>
      <c r="Q1099" s="14">
        <v>0</v>
      </c>
      <c r="R1099" s="2"/>
      <c r="S1099" s="44">
        <f>[1]!DDIFF(0,0)</f>
        <v>0</v>
      </c>
      <c r="T1099" s="2"/>
      <c r="U1099" s="1"/>
      <c r="V1099" s="62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  <c r="AL1099" s="1"/>
      <c r="AM1099" s="1"/>
      <c r="AN1099" s="1"/>
      <c r="AO1099" s="1"/>
      <c r="AP1099" s="1"/>
      <c r="AQ1099" s="1"/>
      <c r="AR1099" s="1"/>
      <c r="AS1099" s="1"/>
      <c r="AT1099" s="1"/>
      <c r="AU1099" s="1"/>
      <c r="AV1099" s="1"/>
      <c r="AW1099" s="1"/>
      <c r="AX1099" s="1"/>
      <c r="AY1099" s="1"/>
      <c r="AZ1099" s="1"/>
      <c r="BA1099" s="1"/>
      <c r="BB1099" s="1"/>
      <c r="BC1099" s="1"/>
      <c r="BD1099" s="1"/>
      <c r="BE1099" s="1"/>
      <c r="BF1099" s="1"/>
      <c r="BG1099" s="1"/>
      <c r="BH1099" s="1"/>
      <c r="BI1099" s="1"/>
      <c r="BJ1099" s="1"/>
      <c r="BK1099" s="1"/>
      <c r="BL1099" s="1"/>
      <c r="BM1099" s="1"/>
      <c r="BN1099" s="1"/>
      <c r="BO1099" s="1"/>
    </row>
    <row r="1100" spans="1:67" hidden="1" x14ac:dyDescent="0.25">
      <c r="A1100" t="s">
        <v>2395</v>
      </c>
      <c r="E1100" s="42" t="s">
        <v>2396</v>
      </c>
      <c r="F1100" s="43" t="s">
        <v>2397</v>
      </c>
      <c r="G1100" s="14">
        <v>0</v>
      </c>
      <c r="H1100" s="2"/>
      <c r="I1100" s="19"/>
      <c r="J1100" s="14">
        <v>0</v>
      </c>
      <c r="K1100" s="2"/>
      <c r="L1100" s="19"/>
      <c r="M1100" s="14">
        <v>0</v>
      </c>
      <c r="N1100" s="2"/>
      <c r="O1100" s="14">
        <v>0</v>
      </c>
      <c r="P1100" s="55"/>
      <c r="Q1100" s="14">
        <v>0</v>
      </c>
      <c r="R1100" s="2"/>
      <c r="S1100" s="44">
        <f>[1]!DDIFF(0,0)</f>
        <v>0</v>
      </c>
      <c r="T1100" s="2"/>
      <c r="U1100" s="1"/>
      <c r="V1100" s="62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  <c r="AL1100" s="1"/>
      <c r="AM1100" s="1"/>
      <c r="AN1100" s="1"/>
      <c r="AO1100" s="1"/>
      <c r="AP1100" s="1"/>
      <c r="AQ1100" s="1"/>
      <c r="AR1100" s="1"/>
      <c r="AS1100" s="1"/>
      <c r="AT1100" s="1"/>
      <c r="AU1100" s="1"/>
      <c r="AV1100" s="1"/>
      <c r="AW1100" s="1"/>
      <c r="AX1100" s="1"/>
      <c r="AY1100" s="1"/>
      <c r="AZ1100" s="1"/>
      <c r="BA1100" s="1"/>
      <c r="BB1100" s="1"/>
      <c r="BC1100" s="1"/>
      <c r="BD1100" s="1"/>
      <c r="BE1100" s="1"/>
      <c r="BF1100" s="1"/>
      <c r="BG1100" s="1"/>
      <c r="BH1100" s="1"/>
      <c r="BI1100" s="1"/>
      <c r="BJ1100" s="1"/>
      <c r="BK1100" s="1"/>
      <c r="BL1100" s="1"/>
      <c r="BM1100" s="1"/>
      <c r="BN1100" s="1"/>
      <c r="BO1100" s="1"/>
    </row>
    <row r="1101" spans="1:67" hidden="1" x14ac:dyDescent="0.25">
      <c r="A1101" t="s">
        <v>2398</v>
      </c>
      <c r="E1101" s="42" t="s">
        <v>2399</v>
      </c>
      <c r="F1101" s="43" t="s">
        <v>2397</v>
      </c>
      <c r="G1101" s="14">
        <v>0</v>
      </c>
      <c r="H1101" s="2"/>
      <c r="I1101" s="19"/>
      <c r="J1101" s="14">
        <v>0</v>
      </c>
      <c r="K1101" s="2"/>
      <c r="L1101" s="19"/>
      <c r="M1101" s="14">
        <v>0</v>
      </c>
      <c r="N1101" s="2"/>
      <c r="O1101" s="14">
        <v>0</v>
      </c>
      <c r="P1101" s="55"/>
      <c r="Q1101" s="14">
        <v>0</v>
      </c>
      <c r="R1101" s="2"/>
      <c r="S1101" s="44">
        <f>[1]!DDIFF(0,0)</f>
        <v>0</v>
      </c>
      <c r="T1101" s="2"/>
      <c r="U1101" s="1"/>
      <c r="V1101" s="62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  <c r="AL1101" s="1"/>
      <c r="AM1101" s="1"/>
      <c r="AN1101" s="1"/>
      <c r="AO1101" s="1"/>
      <c r="AP1101" s="1"/>
      <c r="AQ1101" s="1"/>
      <c r="AR1101" s="1"/>
      <c r="AS1101" s="1"/>
      <c r="AT1101" s="1"/>
      <c r="AU1101" s="1"/>
      <c r="AV1101" s="1"/>
      <c r="AW1101" s="1"/>
      <c r="AX1101" s="1"/>
      <c r="AY1101" s="1"/>
      <c r="AZ1101" s="1"/>
      <c r="BA1101" s="1"/>
      <c r="BB1101" s="1"/>
      <c r="BC1101" s="1"/>
      <c r="BD1101" s="1"/>
      <c r="BE1101" s="1"/>
      <c r="BF1101" s="1"/>
      <c r="BG1101" s="1"/>
      <c r="BH1101" s="1"/>
      <c r="BI1101" s="1"/>
      <c r="BJ1101" s="1"/>
      <c r="BK1101" s="1"/>
      <c r="BL1101" s="1"/>
      <c r="BM1101" s="1"/>
      <c r="BN1101" s="1"/>
      <c r="BO1101" s="1"/>
    </row>
    <row r="1102" spans="1:67" hidden="1" x14ac:dyDescent="0.25">
      <c r="A1102" t="s">
        <v>2400</v>
      </c>
      <c r="E1102" s="42" t="s">
        <v>2401</v>
      </c>
      <c r="F1102" s="43" t="s">
        <v>2402</v>
      </c>
      <c r="G1102" s="14">
        <v>0</v>
      </c>
      <c r="H1102" s="2"/>
      <c r="I1102" s="19"/>
      <c r="J1102" s="14">
        <v>0</v>
      </c>
      <c r="K1102" s="2"/>
      <c r="L1102" s="19"/>
      <c r="M1102" s="14">
        <v>0</v>
      </c>
      <c r="N1102" s="2"/>
      <c r="O1102" s="14">
        <v>0</v>
      </c>
      <c r="P1102" s="55"/>
      <c r="Q1102" s="14">
        <v>0</v>
      </c>
      <c r="R1102" s="2"/>
      <c r="S1102" s="44">
        <f>[1]!DDIFF(0,0)</f>
        <v>0</v>
      </c>
      <c r="T1102" s="2"/>
      <c r="U1102" s="1"/>
      <c r="V1102" s="62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  <c r="AL1102" s="1"/>
      <c r="AM1102" s="1"/>
      <c r="AN1102" s="1"/>
      <c r="AO1102" s="1"/>
      <c r="AP1102" s="1"/>
      <c r="AQ1102" s="1"/>
      <c r="AR1102" s="1"/>
      <c r="AS1102" s="1"/>
      <c r="AT1102" s="1"/>
      <c r="AU1102" s="1"/>
      <c r="AV1102" s="1"/>
      <c r="AW1102" s="1"/>
      <c r="AX1102" s="1"/>
      <c r="AY1102" s="1"/>
      <c r="AZ1102" s="1"/>
      <c r="BA1102" s="1"/>
      <c r="BB1102" s="1"/>
      <c r="BC1102" s="1"/>
      <c r="BD1102" s="1"/>
      <c r="BE1102" s="1"/>
      <c r="BF1102" s="1"/>
      <c r="BG1102" s="1"/>
      <c r="BH1102" s="1"/>
      <c r="BI1102" s="1"/>
      <c r="BJ1102" s="1"/>
      <c r="BK1102" s="1"/>
      <c r="BL1102" s="1"/>
      <c r="BM1102" s="1"/>
      <c r="BN1102" s="1"/>
      <c r="BO1102" s="1"/>
    </row>
    <row r="1103" spans="1:67" hidden="1" x14ac:dyDescent="0.25">
      <c r="A1103" t="s">
        <v>2403</v>
      </c>
      <c r="E1103" s="42" t="s">
        <v>2404</v>
      </c>
      <c r="F1103" s="43" t="s">
        <v>2397</v>
      </c>
      <c r="G1103" s="14">
        <v>0</v>
      </c>
      <c r="H1103" s="2"/>
      <c r="I1103" s="19"/>
      <c r="J1103" s="14">
        <v>0</v>
      </c>
      <c r="K1103" s="2"/>
      <c r="L1103" s="19"/>
      <c r="M1103" s="14">
        <v>0</v>
      </c>
      <c r="N1103" s="2"/>
      <c r="O1103" s="14">
        <v>0</v>
      </c>
      <c r="P1103" s="55"/>
      <c r="Q1103" s="14">
        <v>0</v>
      </c>
      <c r="R1103" s="2"/>
      <c r="S1103" s="44">
        <f>[1]!DDIFF(0,0)</f>
        <v>0</v>
      </c>
      <c r="T1103" s="2"/>
      <c r="U1103" s="1"/>
      <c r="V1103" s="62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  <c r="AL1103" s="1"/>
      <c r="AM1103" s="1"/>
      <c r="AN1103" s="1"/>
      <c r="AO1103" s="1"/>
      <c r="AP1103" s="1"/>
      <c r="AQ1103" s="1"/>
      <c r="AR1103" s="1"/>
      <c r="AS1103" s="1"/>
      <c r="AT1103" s="1"/>
      <c r="AU1103" s="1"/>
      <c r="AV1103" s="1"/>
      <c r="AW1103" s="1"/>
      <c r="AX1103" s="1"/>
      <c r="AY1103" s="1"/>
      <c r="AZ1103" s="1"/>
      <c r="BA1103" s="1"/>
      <c r="BB1103" s="1"/>
      <c r="BC1103" s="1"/>
      <c r="BD1103" s="1"/>
      <c r="BE1103" s="1"/>
      <c r="BF1103" s="1"/>
      <c r="BG1103" s="1"/>
      <c r="BH1103" s="1"/>
      <c r="BI1103" s="1"/>
      <c r="BJ1103" s="1"/>
      <c r="BK1103" s="1"/>
      <c r="BL1103" s="1"/>
      <c r="BM1103" s="1"/>
      <c r="BN1103" s="1"/>
      <c r="BO1103" s="1"/>
    </row>
    <row r="1104" spans="1:67" x14ac:dyDescent="0.25">
      <c r="A1104" t="s">
        <v>2633</v>
      </c>
      <c r="E1104" s="45" t="s">
        <v>2634</v>
      </c>
      <c r="F1104" s="46" t="s">
        <v>2632</v>
      </c>
      <c r="G1104" s="15">
        <v>4629982</v>
      </c>
      <c r="H1104" s="3"/>
      <c r="I1104" s="20"/>
      <c r="J1104" s="15">
        <v>21684</v>
      </c>
      <c r="K1104" s="3"/>
      <c r="L1104" s="20"/>
      <c r="M1104" s="15">
        <v>23113</v>
      </c>
      <c r="N1104" s="3"/>
      <c r="O1104" s="15">
        <v>4674779</v>
      </c>
      <c r="P1104" s="55"/>
      <c r="Q1104" s="15">
        <v>4046783</v>
      </c>
      <c r="R1104" s="3"/>
      <c r="S1104" s="47">
        <f>[1]!DDIFF(4046783,4674779)</f>
        <v>627996</v>
      </c>
      <c r="T1104" s="3"/>
      <c r="U1104" s="1"/>
      <c r="V1104" s="62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  <c r="AL1104" s="1"/>
      <c r="AM1104" s="1"/>
      <c r="AN1104" s="1"/>
      <c r="AO1104" s="1"/>
      <c r="AP1104" s="1"/>
      <c r="AQ1104" s="1"/>
      <c r="AR1104" s="1"/>
      <c r="AS1104" s="1"/>
      <c r="AT1104" s="1"/>
      <c r="AU1104" s="1"/>
      <c r="AV1104" s="1"/>
      <c r="AW1104" s="1"/>
      <c r="AX1104" s="1"/>
      <c r="AY1104" s="1"/>
      <c r="AZ1104" s="1"/>
      <c r="BA1104" s="1"/>
      <c r="BB1104" s="1"/>
      <c r="BC1104" s="1"/>
      <c r="BD1104" s="1"/>
      <c r="BE1104" s="1"/>
      <c r="BF1104" s="1"/>
      <c r="BG1104" s="1"/>
      <c r="BH1104" s="1"/>
      <c r="BI1104" s="1"/>
      <c r="BJ1104" s="1"/>
      <c r="BK1104" s="1"/>
      <c r="BL1104" s="1"/>
      <c r="BM1104" s="1"/>
      <c r="BN1104" s="1"/>
      <c r="BO1104" s="1"/>
    </row>
    <row r="1105" spans="1:67" x14ac:dyDescent="0.25">
      <c r="A1105" t="s">
        <v>2635</v>
      </c>
      <c r="H1105" s="1"/>
      <c r="K1105" s="1"/>
      <c r="N1105" s="1"/>
      <c r="P1105" s="55"/>
      <c r="R1105" s="1"/>
      <c r="T1105" s="1"/>
      <c r="U1105" s="1"/>
      <c r="V1105" s="62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  <c r="AJ1105" s="1"/>
      <c r="AK1105" s="1"/>
      <c r="AL1105" s="1"/>
      <c r="AM1105" s="1"/>
      <c r="AN1105" s="1"/>
      <c r="AO1105" s="1"/>
      <c r="AP1105" s="1"/>
      <c r="AQ1105" s="1"/>
      <c r="AR1105" s="1"/>
      <c r="AS1105" s="1"/>
      <c r="AT1105" s="1"/>
      <c r="AU1105" s="1"/>
      <c r="AV1105" s="1"/>
      <c r="AW1105" s="1"/>
      <c r="AX1105" s="1"/>
      <c r="AY1105" s="1"/>
      <c r="AZ1105" s="1"/>
      <c r="BA1105" s="1"/>
      <c r="BB1105" s="1"/>
      <c r="BC1105" s="1"/>
      <c r="BD1105" s="1"/>
      <c r="BE1105" s="1"/>
      <c r="BF1105" s="1"/>
      <c r="BG1105" s="1"/>
      <c r="BH1105" s="1"/>
      <c r="BI1105" s="1"/>
      <c r="BJ1105" s="1"/>
      <c r="BK1105" s="1"/>
      <c r="BL1105" s="1"/>
      <c r="BM1105" s="1"/>
      <c r="BN1105" s="1"/>
      <c r="BO1105" s="1"/>
    </row>
    <row r="1106" spans="1:67" x14ac:dyDescent="0.25">
      <c r="A1106" t="s">
        <v>2636</v>
      </c>
      <c r="E1106" s="40" t="s">
        <v>2637</v>
      </c>
      <c r="F1106" s="41" t="s">
        <v>2638</v>
      </c>
      <c r="H1106" s="1"/>
      <c r="K1106" s="1"/>
      <c r="N1106" s="1"/>
      <c r="P1106" s="55"/>
      <c r="R1106" s="1"/>
      <c r="T1106" s="1"/>
      <c r="U1106" s="1"/>
      <c r="V1106" s="62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  <c r="AJ1106" s="1"/>
      <c r="AK1106" s="1"/>
      <c r="AL1106" s="1"/>
      <c r="AM1106" s="1"/>
      <c r="AN1106" s="1"/>
      <c r="AO1106" s="1"/>
      <c r="AP1106" s="1"/>
      <c r="AQ1106" s="1"/>
      <c r="AR1106" s="1"/>
      <c r="AS1106" s="1"/>
      <c r="AT1106" s="1"/>
      <c r="AU1106" s="1"/>
      <c r="AV1106" s="1"/>
      <c r="AW1106" s="1"/>
      <c r="AX1106" s="1"/>
      <c r="AY1106" s="1"/>
      <c r="AZ1106" s="1"/>
      <c r="BA1106" s="1"/>
      <c r="BB1106" s="1"/>
      <c r="BC1106" s="1"/>
      <c r="BD1106" s="1"/>
      <c r="BE1106" s="1"/>
      <c r="BF1106" s="1"/>
      <c r="BG1106" s="1"/>
      <c r="BH1106" s="1"/>
      <c r="BI1106" s="1"/>
      <c r="BJ1106" s="1"/>
      <c r="BK1106" s="1"/>
      <c r="BL1106" s="1"/>
      <c r="BM1106" s="1"/>
      <c r="BN1106" s="1"/>
      <c r="BO1106" s="1"/>
    </row>
    <row r="1107" spans="1:67" collapsed="1" x14ac:dyDescent="0.25">
      <c r="A1107" t="s">
        <v>2405</v>
      </c>
      <c r="E1107" s="42" t="s">
        <v>2406</v>
      </c>
      <c r="F1107" s="43" t="s">
        <v>2407</v>
      </c>
      <c r="G1107" s="14">
        <v>2463000</v>
      </c>
      <c r="H1107" s="2"/>
      <c r="I1107" s="19"/>
      <c r="J1107" s="14">
        <v>-1980549</v>
      </c>
      <c r="K1107" s="2"/>
      <c r="L1107" s="19"/>
      <c r="M1107" s="14">
        <v>0</v>
      </c>
      <c r="N1107" s="2"/>
      <c r="O1107" s="14">
        <v>482451</v>
      </c>
      <c r="P1107" s="55" t="s">
        <v>2863</v>
      </c>
      <c r="Q1107" s="14">
        <v>472497</v>
      </c>
      <c r="R1107" s="2"/>
      <c r="S1107" s="44">
        <f>[1]!DDIFF(472497,482451)</f>
        <v>9954</v>
      </c>
      <c r="T1107" s="2"/>
      <c r="U1107" s="1"/>
      <c r="V1107" s="62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  <c r="AJ1107" s="1"/>
      <c r="AK1107" s="1"/>
      <c r="AL1107" s="1"/>
      <c r="AM1107" s="1"/>
      <c r="AN1107" s="1"/>
      <c r="AO1107" s="1"/>
      <c r="AP1107" s="1"/>
      <c r="AQ1107" s="1"/>
      <c r="AR1107" s="1"/>
      <c r="AS1107" s="1"/>
      <c r="AT1107" s="1"/>
      <c r="AU1107" s="1"/>
      <c r="AV1107" s="1"/>
      <c r="AW1107" s="1"/>
      <c r="AX1107" s="1"/>
      <c r="AY1107" s="1"/>
      <c r="AZ1107" s="1"/>
      <c r="BA1107" s="1"/>
      <c r="BB1107" s="1"/>
      <c r="BC1107" s="1"/>
      <c r="BD1107" s="1"/>
      <c r="BE1107" s="1"/>
      <c r="BF1107" s="1"/>
      <c r="BG1107" s="1"/>
      <c r="BH1107" s="1"/>
      <c r="BI1107" s="1"/>
      <c r="BJ1107" s="1"/>
      <c r="BK1107" s="1"/>
      <c r="BL1107" s="1"/>
      <c r="BM1107" s="1"/>
      <c r="BN1107" s="1"/>
      <c r="BO1107" s="1"/>
    </row>
    <row r="1108" spans="1:67" hidden="1" outlineLevel="1" x14ac:dyDescent="0.25">
      <c r="A1108" t="s">
        <v>2836</v>
      </c>
      <c r="E1108" s="7"/>
      <c r="F1108" s="10"/>
      <c r="G1108" s="14"/>
      <c r="H1108" s="2"/>
      <c r="I1108" s="54" t="s">
        <v>2829</v>
      </c>
      <c r="J1108" s="14">
        <v>-1980549</v>
      </c>
      <c r="K1108" s="2"/>
      <c r="L1108" s="19"/>
      <c r="M1108" s="14"/>
      <c r="N1108" s="2"/>
      <c r="O1108" s="14"/>
      <c r="P1108" s="55"/>
      <c r="Q1108" s="14"/>
      <c r="R1108" s="2"/>
      <c r="S1108" s="14"/>
      <c r="T1108" s="2"/>
      <c r="U1108" s="1"/>
      <c r="V1108" s="62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  <c r="AJ1108" s="1"/>
      <c r="AK1108" s="1"/>
      <c r="AL1108" s="1"/>
      <c r="AM1108" s="1"/>
      <c r="AN1108" s="1"/>
      <c r="AO1108" s="1"/>
      <c r="AP1108" s="1"/>
      <c r="AQ1108" s="1"/>
      <c r="AR1108" s="1"/>
      <c r="AS1108" s="1"/>
      <c r="AT1108" s="1"/>
      <c r="AU1108" s="1"/>
      <c r="AV1108" s="1"/>
      <c r="AW1108" s="1"/>
      <c r="AX1108" s="1"/>
      <c r="AY1108" s="1"/>
      <c r="AZ1108" s="1"/>
      <c r="BA1108" s="1"/>
      <c r="BB1108" s="1"/>
      <c r="BC1108" s="1"/>
      <c r="BD1108" s="1"/>
      <c r="BE1108" s="1"/>
      <c r="BF1108" s="1"/>
      <c r="BG1108" s="1"/>
      <c r="BH1108" s="1"/>
      <c r="BI1108" s="1"/>
      <c r="BJ1108" s="1"/>
      <c r="BK1108" s="1"/>
      <c r="BL1108" s="1"/>
      <c r="BM1108" s="1"/>
      <c r="BN1108" s="1"/>
      <c r="BO1108" s="1"/>
    </row>
    <row r="1109" spans="1:67" collapsed="1" x14ac:dyDescent="0.25">
      <c r="A1109" t="s">
        <v>2408</v>
      </c>
      <c r="E1109" s="42" t="s">
        <v>2409</v>
      </c>
      <c r="F1109" s="43" t="s">
        <v>2407</v>
      </c>
      <c r="G1109" s="14">
        <v>0</v>
      </c>
      <c r="H1109" s="2"/>
      <c r="I1109" s="19"/>
      <c r="J1109" s="14">
        <v>1929806</v>
      </c>
      <c r="K1109" s="2"/>
      <c r="L1109" s="19"/>
      <c r="M1109" s="14">
        <v>0</v>
      </c>
      <c r="N1109" s="2"/>
      <c r="O1109" s="14">
        <v>1929806</v>
      </c>
      <c r="P1109" s="55" t="s">
        <v>2863</v>
      </c>
      <c r="Q1109" s="14">
        <v>1889988</v>
      </c>
      <c r="R1109" s="2"/>
      <c r="S1109" s="44">
        <f>[1]!DDIFF(1889988,1929806)</f>
        <v>39818</v>
      </c>
      <c r="T1109" s="2"/>
      <c r="U1109" s="1"/>
      <c r="V1109" s="62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  <c r="AJ1109" s="1"/>
      <c r="AK1109" s="1"/>
      <c r="AL1109" s="1"/>
      <c r="AM1109" s="1"/>
      <c r="AN1109" s="1"/>
      <c r="AO1109" s="1"/>
      <c r="AP1109" s="1"/>
      <c r="AQ1109" s="1"/>
      <c r="AR1109" s="1"/>
      <c r="AS1109" s="1"/>
      <c r="AT1109" s="1"/>
      <c r="AU1109" s="1"/>
      <c r="AV1109" s="1"/>
      <c r="AW1109" s="1"/>
      <c r="AX1109" s="1"/>
      <c r="AY1109" s="1"/>
      <c r="AZ1109" s="1"/>
      <c r="BA1109" s="1"/>
      <c r="BB1109" s="1"/>
      <c r="BC1109" s="1"/>
      <c r="BD1109" s="1"/>
      <c r="BE1109" s="1"/>
      <c r="BF1109" s="1"/>
      <c r="BG1109" s="1"/>
      <c r="BH1109" s="1"/>
      <c r="BI1109" s="1"/>
      <c r="BJ1109" s="1"/>
      <c r="BK1109" s="1"/>
      <c r="BL1109" s="1"/>
      <c r="BM1109" s="1"/>
      <c r="BN1109" s="1"/>
      <c r="BO1109" s="1"/>
    </row>
    <row r="1110" spans="1:67" hidden="1" outlineLevel="1" x14ac:dyDescent="0.25">
      <c r="A1110" t="s">
        <v>2837</v>
      </c>
      <c r="E1110" s="7"/>
      <c r="F1110" s="10"/>
      <c r="G1110" s="14"/>
      <c r="H1110" s="2"/>
      <c r="I1110" s="54" t="s">
        <v>2829</v>
      </c>
      <c r="J1110" s="14">
        <v>1929806</v>
      </c>
      <c r="K1110" s="2"/>
      <c r="L1110" s="19"/>
      <c r="M1110" s="14"/>
      <c r="N1110" s="2"/>
      <c r="O1110" s="14"/>
      <c r="P1110" s="55"/>
      <c r="Q1110" s="14"/>
      <c r="R1110" s="2"/>
      <c r="S1110" s="14"/>
      <c r="T1110" s="2"/>
      <c r="U1110" s="1"/>
      <c r="V1110" s="62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  <c r="AJ1110" s="1"/>
      <c r="AK1110" s="1"/>
      <c r="AL1110" s="1"/>
      <c r="AM1110" s="1"/>
      <c r="AN1110" s="1"/>
      <c r="AO1110" s="1"/>
      <c r="AP1110" s="1"/>
      <c r="AQ1110" s="1"/>
      <c r="AR1110" s="1"/>
      <c r="AS1110" s="1"/>
      <c r="AT1110" s="1"/>
      <c r="AU1110" s="1"/>
      <c r="AV1110" s="1"/>
      <c r="AW1110" s="1"/>
      <c r="AX1110" s="1"/>
      <c r="AY1110" s="1"/>
      <c r="AZ1110" s="1"/>
      <c r="BA1110" s="1"/>
      <c r="BB1110" s="1"/>
      <c r="BC1110" s="1"/>
      <c r="BD1110" s="1"/>
      <c r="BE1110" s="1"/>
      <c r="BF1110" s="1"/>
      <c r="BG1110" s="1"/>
      <c r="BH1110" s="1"/>
      <c r="BI1110" s="1"/>
      <c r="BJ1110" s="1"/>
      <c r="BK1110" s="1"/>
      <c r="BL1110" s="1"/>
      <c r="BM1110" s="1"/>
      <c r="BN1110" s="1"/>
      <c r="BO1110" s="1"/>
    </row>
    <row r="1111" spans="1:67" hidden="1" x14ac:dyDescent="0.25">
      <c r="A1111" t="s">
        <v>2410</v>
      </c>
      <c r="E1111" s="42" t="s">
        <v>2411</v>
      </c>
      <c r="F1111" s="43" t="s">
        <v>2412</v>
      </c>
      <c r="G1111" s="14">
        <v>0</v>
      </c>
      <c r="H1111" s="2"/>
      <c r="I1111" s="19"/>
      <c r="J1111" s="14">
        <v>0</v>
      </c>
      <c r="K1111" s="2"/>
      <c r="L1111" s="19"/>
      <c r="M1111" s="14">
        <v>0</v>
      </c>
      <c r="N1111" s="2"/>
      <c r="O1111" s="14">
        <v>0</v>
      </c>
      <c r="P1111" s="55"/>
      <c r="Q1111" s="14">
        <v>0</v>
      </c>
      <c r="R1111" s="2"/>
      <c r="S1111" s="44">
        <f>[1]!DDIFF(0,0)</f>
        <v>0</v>
      </c>
      <c r="T1111" s="2"/>
      <c r="U1111" s="1"/>
      <c r="V1111" s="62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  <c r="AJ1111" s="1"/>
      <c r="AK1111" s="1"/>
      <c r="AL1111" s="1"/>
      <c r="AM1111" s="1"/>
      <c r="AN1111" s="1"/>
      <c r="AO1111" s="1"/>
      <c r="AP1111" s="1"/>
      <c r="AQ1111" s="1"/>
      <c r="AR1111" s="1"/>
      <c r="AS1111" s="1"/>
      <c r="AT1111" s="1"/>
      <c r="AU1111" s="1"/>
      <c r="AV1111" s="1"/>
      <c r="AW1111" s="1"/>
      <c r="AX1111" s="1"/>
      <c r="AY1111" s="1"/>
      <c r="AZ1111" s="1"/>
      <c r="BA1111" s="1"/>
      <c r="BB1111" s="1"/>
      <c r="BC1111" s="1"/>
      <c r="BD1111" s="1"/>
      <c r="BE1111" s="1"/>
      <c r="BF1111" s="1"/>
      <c r="BG1111" s="1"/>
      <c r="BH1111" s="1"/>
      <c r="BI1111" s="1"/>
      <c r="BJ1111" s="1"/>
      <c r="BK1111" s="1"/>
      <c r="BL1111" s="1"/>
      <c r="BM1111" s="1"/>
      <c r="BN1111" s="1"/>
      <c r="BO1111" s="1"/>
    </row>
    <row r="1112" spans="1:67" collapsed="1" x14ac:dyDescent="0.25">
      <c r="A1112" t="s">
        <v>2413</v>
      </c>
      <c r="E1112" s="42" t="s">
        <v>2414</v>
      </c>
      <c r="F1112" s="43" t="s">
        <v>2407</v>
      </c>
      <c r="G1112" s="14">
        <v>0</v>
      </c>
      <c r="H1112" s="2"/>
      <c r="I1112" s="19"/>
      <c r="J1112" s="14">
        <v>10093</v>
      </c>
      <c r="K1112" s="2"/>
      <c r="L1112" s="19"/>
      <c r="M1112" s="14">
        <v>0</v>
      </c>
      <c r="N1112" s="2"/>
      <c r="O1112" s="14">
        <v>10093</v>
      </c>
      <c r="P1112" s="55" t="s">
        <v>2863</v>
      </c>
      <c r="Q1112" s="14">
        <v>21300</v>
      </c>
      <c r="R1112" s="2"/>
      <c r="S1112" s="44">
        <f>[1]!DDIFF(21300,10093)</f>
        <v>-11207</v>
      </c>
      <c r="T1112" s="2"/>
      <c r="U1112" s="1"/>
      <c r="V1112" s="62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  <c r="AJ1112" s="1"/>
      <c r="AK1112" s="1"/>
      <c r="AL1112" s="1"/>
      <c r="AM1112" s="1"/>
      <c r="AN1112" s="1"/>
      <c r="AO1112" s="1"/>
      <c r="AP1112" s="1"/>
      <c r="AQ1112" s="1"/>
      <c r="AR1112" s="1"/>
      <c r="AS1112" s="1"/>
      <c r="AT1112" s="1"/>
      <c r="AU1112" s="1"/>
      <c r="AV1112" s="1"/>
      <c r="AW1112" s="1"/>
      <c r="AX1112" s="1"/>
      <c r="AY1112" s="1"/>
      <c r="AZ1112" s="1"/>
      <c r="BA1112" s="1"/>
      <c r="BB1112" s="1"/>
      <c r="BC1112" s="1"/>
      <c r="BD1112" s="1"/>
      <c r="BE1112" s="1"/>
      <c r="BF1112" s="1"/>
      <c r="BG1112" s="1"/>
      <c r="BH1112" s="1"/>
      <c r="BI1112" s="1"/>
      <c r="BJ1112" s="1"/>
      <c r="BK1112" s="1"/>
      <c r="BL1112" s="1"/>
      <c r="BM1112" s="1"/>
      <c r="BN1112" s="1"/>
      <c r="BO1112" s="1"/>
    </row>
    <row r="1113" spans="1:67" hidden="1" outlineLevel="1" x14ac:dyDescent="0.25">
      <c r="A1113" t="s">
        <v>2838</v>
      </c>
      <c r="E1113" s="7"/>
      <c r="F1113" s="10"/>
      <c r="G1113" s="14"/>
      <c r="H1113" s="2"/>
      <c r="I1113" s="54" t="s">
        <v>2829</v>
      </c>
      <c r="J1113" s="14">
        <v>10093</v>
      </c>
      <c r="K1113" s="2"/>
      <c r="L1113" s="19"/>
      <c r="M1113" s="14"/>
      <c r="N1113" s="2"/>
      <c r="O1113" s="14"/>
      <c r="P1113" s="55"/>
      <c r="Q1113" s="14"/>
      <c r="R1113" s="2"/>
      <c r="S1113" s="14"/>
      <c r="T1113" s="2"/>
      <c r="U1113" s="1"/>
      <c r="V1113" s="62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  <c r="AJ1113" s="1"/>
      <c r="AK1113" s="1"/>
      <c r="AL1113" s="1"/>
      <c r="AM1113" s="1"/>
      <c r="AN1113" s="1"/>
      <c r="AO1113" s="1"/>
      <c r="AP1113" s="1"/>
      <c r="AQ1113" s="1"/>
      <c r="AR1113" s="1"/>
      <c r="AS1113" s="1"/>
      <c r="AT1113" s="1"/>
      <c r="AU1113" s="1"/>
      <c r="AV1113" s="1"/>
      <c r="AW1113" s="1"/>
      <c r="AX1113" s="1"/>
      <c r="AY1113" s="1"/>
      <c r="AZ1113" s="1"/>
      <c r="BA1113" s="1"/>
      <c r="BB1113" s="1"/>
      <c r="BC1113" s="1"/>
      <c r="BD1113" s="1"/>
      <c r="BE1113" s="1"/>
      <c r="BF1113" s="1"/>
      <c r="BG1113" s="1"/>
      <c r="BH1113" s="1"/>
      <c r="BI1113" s="1"/>
      <c r="BJ1113" s="1"/>
      <c r="BK1113" s="1"/>
      <c r="BL1113" s="1"/>
      <c r="BM1113" s="1"/>
      <c r="BN1113" s="1"/>
      <c r="BO1113" s="1"/>
    </row>
    <row r="1114" spans="1:67" x14ac:dyDescent="0.25">
      <c r="A1114" t="s">
        <v>2639</v>
      </c>
      <c r="E1114" s="45" t="s">
        <v>2640</v>
      </c>
      <c r="F1114" s="46" t="s">
        <v>2638</v>
      </c>
      <c r="G1114" s="15">
        <v>2463000</v>
      </c>
      <c r="H1114" s="3"/>
      <c r="I1114" s="20"/>
      <c r="J1114" s="15">
        <v>-40650</v>
      </c>
      <c r="K1114" s="3"/>
      <c r="L1114" s="20"/>
      <c r="M1114" s="15">
        <v>0</v>
      </c>
      <c r="N1114" s="3"/>
      <c r="O1114" s="15">
        <v>2422350</v>
      </c>
      <c r="P1114" s="55"/>
      <c r="Q1114" s="15">
        <v>2383785</v>
      </c>
      <c r="R1114" s="3"/>
      <c r="S1114" s="47">
        <f>[1]!DDIFF(2383785,2422350)</f>
        <v>38565</v>
      </c>
      <c r="T1114" s="3"/>
      <c r="U1114" s="1"/>
      <c r="V1114" s="62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  <c r="AJ1114" s="1"/>
      <c r="AK1114" s="1"/>
      <c r="AL1114" s="1"/>
      <c r="AM1114" s="1"/>
      <c r="AN1114" s="1"/>
      <c r="AO1114" s="1"/>
      <c r="AP1114" s="1"/>
      <c r="AQ1114" s="1"/>
      <c r="AR1114" s="1"/>
      <c r="AS1114" s="1"/>
      <c r="AT1114" s="1"/>
      <c r="AU1114" s="1"/>
      <c r="AV1114" s="1"/>
      <c r="AW1114" s="1"/>
      <c r="AX1114" s="1"/>
      <c r="AY1114" s="1"/>
      <c r="AZ1114" s="1"/>
      <c r="BA1114" s="1"/>
      <c r="BB1114" s="1"/>
      <c r="BC1114" s="1"/>
      <c r="BD1114" s="1"/>
      <c r="BE1114" s="1"/>
      <c r="BF1114" s="1"/>
      <c r="BG1114" s="1"/>
      <c r="BH1114" s="1"/>
      <c r="BI1114" s="1"/>
      <c r="BJ1114" s="1"/>
      <c r="BK1114" s="1"/>
      <c r="BL1114" s="1"/>
      <c r="BM1114" s="1"/>
      <c r="BN1114" s="1"/>
      <c r="BO1114" s="1"/>
    </row>
    <row r="1115" spans="1:67" x14ac:dyDescent="0.25">
      <c r="A1115" t="s">
        <v>2641</v>
      </c>
      <c r="H1115" s="1"/>
      <c r="K1115" s="1"/>
      <c r="N1115" s="1"/>
      <c r="P1115" s="55"/>
      <c r="R1115" s="1"/>
      <c r="T1115" s="1"/>
      <c r="U1115" s="1"/>
      <c r="V1115" s="62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  <c r="AJ1115" s="1"/>
      <c r="AK1115" s="1"/>
      <c r="AL1115" s="1"/>
      <c r="AM1115" s="1"/>
      <c r="AN1115" s="1"/>
      <c r="AO1115" s="1"/>
      <c r="AP1115" s="1"/>
      <c r="AQ1115" s="1"/>
      <c r="AR1115" s="1"/>
      <c r="AS1115" s="1"/>
      <c r="AT1115" s="1"/>
      <c r="AU1115" s="1"/>
      <c r="AV1115" s="1"/>
      <c r="AW1115" s="1"/>
      <c r="AX1115" s="1"/>
      <c r="AY1115" s="1"/>
      <c r="AZ1115" s="1"/>
      <c r="BA1115" s="1"/>
      <c r="BB1115" s="1"/>
      <c r="BC1115" s="1"/>
      <c r="BD1115" s="1"/>
      <c r="BE1115" s="1"/>
      <c r="BF1115" s="1"/>
      <c r="BG1115" s="1"/>
      <c r="BH1115" s="1"/>
      <c r="BI1115" s="1"/>
      <c r="BJ1115" s="1"/>
      <c r="BK1115" s="1"/>
      <c r="BL1115" s="1"/>
      <c r="BM1115" s="1"/>
      <c r="BN1115" s="1"/>
      <c r="BO1115" s="1"/>
    </row>
    <row r="1116" spans="1:67" hidden="1" x14ac:dyDescent="0.25">
      <c r="A1116" t="s">
        <v>2642</v>
      </c>
      <c r="E1116" s="40" t="s">
        <v>2643</v>
      </c>
      <c r="F1116" s="41" t="s">
        <v>2644</v>
      </c>
      <c r="H1116" s="1"/>
      <c r="K1116" s="1"/>
      <c r="N1116" s="1"/>
      <c r="P1116" s="55"/>
      <c r="R1116" s="1"/>
      <c r="T1116" s="1"/>
      <c r="U1116" s="1"/>
      <c r="V1116" s="62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  <c r="AJ1116" s="1"/>
      <c r="AK1116" s="1"/>
      <c r="AL1116" s="1"/>
      <c r="AM1116" s="1"/>
      <c r="AN1116" s="1"/>
      <c r="AO1116" s="1"/>
      <c r="AP1116" s="1"/>
      <c r="AQ1116" s="1"/>
      <c r="AR1116" s="1"/>
      <c r="AS1116" s="1"/>
      <c r="AT1116" s="1"/>
      <c r="AU1116" s="1"/>
      <c r="AV1116" s="1"/>
      <c r="AW1116" s="1"/>
      <c r="AX1116" s="1"/>
      <c r="AY1116" s="1"/>
      <c r="AZ1116" s="1"/>
      <c r="BA1116" s="1"/>
      <c r="BB1116" s="1"/>
      <c r="BC1116" s="1"/>
      <c r="BD1116" s="1"/>
      <c r="BE1116" s="1"/>
      <c r="BF1116" s="1"/>
      <c r="BG1116" s="1"/>
      <c r="BH1116" s="1"/>
      <c r="BI1116" s="1"/>
      <c r="BJ1116" s="1"/>
      <c r="BK1116" s="1"/>
      <c r="BL1116" s="1"/>
      <c r="BM1116" s="1"/>
      <c r="BN1116" s="1"/>
      <c r="BO1116" s="1"/>
    </row>
    <row r="1117" spans="1:67" hidden="1" x14ac:dyDescent="0.25">
      <c r="A1117" t="s">
        <v>2548</v>
      </c>
      <c r="E1117" s="42" t="s">
        <v>2549</v>
      </c>
      <c r="F1117" s="43" t="s">
        <v>2550</v>
      </c>
      <c r="G1117" s="14">
        <v>0</v>
      </c>
      <c r="H1117" s="2"/>
      <c r="I1117" s="19"/>
      <c r="J1117" s="14">
        <v>0</v>
      </c>
      <c r="K1117" s="2"/>
      <c r="L1117" s="19"/>
      <c r="M1117" s="14">
        <v>0</v>
      </c>
      <c r="N1117" s="2"/>
      <c r="O1117" s="14">
        <v>0</v>
      </c>
      <c r="P1117" s="55"/>
      <c r="Q1117" s="14">
        <v>0</v>
      </c>
      <c r="R1117" s="2"/>
      <c r="S1117" s="44">
        <f>[1]!DDIFF(0,0)</f>
        <v>0</v>
      </c>
      <c r="T1117" s="2"/>
      <c r="U1117" s="1"/>
      <c r="V1117" s="62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  <c r="AL1117" s="1"/>
      <c r="AM1117" s="1"/>
      <c r="AN1117" s="1"/>
      <c r="AO1117" s="1"/>
      <c r="AP1117" s="1"/>
      <c r="AQ1117" s="1"/>
      <c r="AR1117" s="1"/>
      <c r="AS1117" s="1"/>
      <c r="AT1117" s="1"/>
      <c r="AU1117" s="1"/>
      <c r="AV1117" s="1"/>
      <c r="AW1117" s="1"/>
      <c r="AX1117" s="1"/>
      <c r="AY1117" s="1"/>
      <c r="AZ1117" s="1"/>
      <c r="BA1117" s="1"/>
      <c r="BB1117" s="1"/>
      <c r="BC1117" s="1"/>
      <c r="BD1117" s="1"/>
      <c r="BE1117" s="1"/>
      <c r="BF1117" s="1"/>
      <c r="BG1117" s="1"/>
      <c r="BH1117" s="1"/>
      <c r="BI1117" s="1"/>
      <c r="BJ1117" s="1"/>
      <c r="BK1117" s="1"/>
      <c r="BL1117" s="1"/>
      <c r="BM1117" s="1"/>
      <c r="BN1117" s="1"/>
      <c r="BO1117" s="1"/>
    </row>
    <row r="1118" spans="1:67" hidden="1" x14ac:dyDescent="0.25">
      <c r="A1118" t="s">
        <v>2543</v>
      </c>
      <c r="E1118" s="42" t="s">
        <v>2544</v>
      </c>
      <c r="F1118" s="43" t="s">
        <v>2545</v>
      </c>
      <c r="G1118" s="14">
        <v>0</v>
      </c>
      <c r="H1118" s="2"/>
      <c r="I1118" s="19"/>
      <c r="J1118" s="14">
        <v>0</v>
      </c>
      <c r="K1118" s="2"/>
      <c r="L1118" s="19"/>
      <c r="M1118" s="14">
        <v>0</v>
      </c>
      <c r="N1118" s="2"/>
      <c r="O1118" s="14">
        <v>0</v>
      </c>
      <c r="P1118" s="55"/>
      <c r="Q1118" s="14">
        <v>0</v>
      </c>
      <c r="R1118" s="2"/>
      <c r="S1118" s="44">
        <f>[1]!DDIFF(0,0)</f>
        <v>0</v>
      </c>
      <c r="T1118" s="2"/>
      <c r="U1118" s="1"/>
      <c r="V1118" s="62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  <c r="AL1118" s="1"/>
      <c r="AM1118" s="1"/>
      <c r="AN1118" s="1"/>
      <c r="AO1118" s="1"/>
      <c r="AP1118" s="1"/>
      <c r="AQ1118" s="1"/>
      <c r="AR1118" s="1"/>
      <c r="AS1118" s="1"/>
      <c r="AT1118" s="1"/>
      <c r="AU1118" s="1"/>
      <c r="AV1118" s="1"/>
      <c r="AW1118" s="1"/>
      <c r="AX1118" s="1"/>
      <c r="AY1118" s="1"/>
      <c r="AZ1118" s="1"/>
      <c r="BA1118" s="1"/>
      <c r="BB1118" s="1"/>
      <c r="BC1118" s="1"/>
      <c r="BD1118" s="1"/>
      <c r="BE1118" s="1"/>
      <c r="BF1118" s="1"/>
      <c r="BG1118" s="1"/>
      <c r="BH1118" s="1"/>
      <c r="BI1118" s="1"/>
      <c r="BJ1118" s="1"/>
      <c r="BK1118" s="1"/>
      <c r="BL1118" s="1"/>
      <c r="BM1118" s="1"/>
      <c r="BN1118" s="1"/>
      <c r="BO1118" s="1"/>
    </row>
    <row r="1119" spans="1:67" hidden="1" x14ac:dyDescent="0.25">
      <c r="A1119" t="s">
        <v>2551</v>
      </c>
      <c r="E1119" s="42" t="s">
        <v>2552</v>
      </c>
      <c r="F1119" s="43" t="s">
        <v>2391</v>
      </c>
      <c r="G1119" s="14">
        <v>0</v>
      </c>
      <c r="H1119" s="2"/>
      <c r="I1119" s="19"/>
      <c r="J1119" s="14">
        <v>0</v>
      </c>
      <c r="K1119" s="2"/>
      <c r="L1119" s="19"/>
      <c r="M1119" s="14">
        <v>0</v>
      </c>
      <c r="N1119" s="2"/>
      <c r="O1119" s="14">
        <v>0</v>
      </c>
      <c r="P1119" s="55"/>
      <c r="Q1119" s="14">
        <v>0</v>
      </c>
      <c r="R1119" s="2"/>
      <c r="S1119" s="44">
        <f>[1]!DDIFF(0,0)</f>
        <v>0</v>
      </c>
      <c r="T1119" s="2"/>
      <c r="U1119" s="1"/>
      <c r="V1119" s="62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  <c r="AJ1119" s="1"/>
      <c r="AK1119" s="1"/>
      <c r="AL1119" s="1"/>
      <c r="AM1119" s="1"/>
      <c r="AN1119" s="1"/>
      <c r="AO1119" s="1"/>
      <c r="AP1119" s="1"/>
      <c r="AQ1119" s="1"/>
      <c r="AR1119" s="1"/>
      <c r="AS1119" s="1"/>
      <c r="AT1119" s="1"/>
      <c r="AU1119" s="1"/>
      <c r="AV1119" s="1"/>
      <c r="AW1119" s="1"/>
      <c r="AX1119" s="1"/>
      <c r="AY1119" s="1"/>
      <c r="AZ1119" s="1"/>
      <c r="BA1119" s="1"/>
      <c r="BB1119" s="1"/>
      <c r="BC1119" s="1"/>
      <c r="BD1119" s="1"/>
      <c r="BE1119" s="1"/>
      <c r="BF1119" s="1"/>
      <c r="BG1119" s="1"/>
      <c r="BH1119" s="1"/>
      <c r="BI1119" s="1"/>
      <c r="BJ1119" s="1"/>
      <c r="BK1119" s="1"/>
      <c r="BL1119" s="1"/>
      <c r="BM1119" s="1"/>
      <c r="BN1119" s="1"/>
      <c r="BO1119" s="1"/>
    </row>
    <row r="1120" spans="1:67" hidden="1" x14ac:dyDescent="0.25">
      <c r="A1120" t="s">
        <v>2553</v>
      </c>
      <c r="E1120" s="42" t="s">
        <v>2554</v>
      </c>
      <c r="F1120" s="43" t="s">
        <v>2423</v>
      </c>
      <c r="G1120" s="14">
        <v>0</v>
      </c>
      <c r="H1120" s="2"/>
      <c r="I1120" s="19"/>
      <c r="J1120" s="14">
        <v>0</v>
      </c>
      <c r="K1120" s="2"/>
      <c r="L1120" s="19"/>
      <c r="M1120" s="14">
        <v>0</v>
      </c>
      <c r="N1120" s="2"/>
      <c r="O1120" s="14">
        <v>0</v>
      </c>
      <c r="P1120" s="55"/>
      <c r="Q1120" s="14">
        <v>0</v>
      </c>
      <c r="R1120" s="2"/>
      <c r="S1120" s="44">
        <f>[1]!DDIFF(0,0)</f>
        <v>0</v>
      </c>
      <c r="T1120" s="2"/>
      <c r="U1120" s="1"/>
      <c r="V1120" s="62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  <c r="AJ1120" s="1"/>
      <c r="AK1120" s="1"/>
      <c r="AL1120" s="1"/>
      <c r="AM1120" s="1"/>
      <c r="AN1120" s="1"/>
      <c r="AO1120" s="1"/>
      <c r="AP1120" s="1"/>
      <c r="AQ1120" s="1"/>
      <c r="AR1120" s="1"/>
      <c r="AS1120" s="1"/>
      <c r="AT1120" s="1"/>
      <c r="AU1120" s="1"/>
      <c r="AV1120" s="1"/>
      <c r="AW1120" s="1"/>
      <c r="AX1120" s="1"/>
      <c r="AY1120" s="1"/>
      <c r="AZ1120" s="1"/>
      <c r="BA1120" s="1"/>
      <c r="BB1120" s="1"/>
      <c r="BC1120" s="1"/>
      <c r="BD1120" s="1"/>
      <c r="BE1120" s="1"/>
      <c r="BF1120" s="1"/>
      <c r="BG1120" s="1"/>
      <c r="BH1120" s="1"/>
      <c r="BI1120" s="1"/>
      <c r="BJ1120" s="1"/>
      <c r="BK1120" s="1"/>
      <c r="BL1120" s="1"/>
      <c r="BM1120" s="1"/>
      <c r="BN1120" s="1"/>
      <c r="BO1120" s="1"/>
    </row>
    <row r="1121" spans="1:67" hidden="1" x14ac:dyDescent="0.25">
      <c r="A1121" t="s">
        <v>2415</v>
      </c>
      <c r="E1121" s="42" t="s">
        <v>2416</v>
      </c>
      <c r="F1121" s="43" t="s">
        <v>1662</v>
      </c>
      <c r="G1121" s="14">
        <v>0</v>
      </c>
      <c r="H1121" s="2"/>
      <c r="I1121" s="19"/>
      <c r="J1121" s="14">
        <v>0</v>
      </c>
      <c r="K1121" s="2"/>
      <c r="L1121" s="19"/>
      <c r="M1121" s="14">
        <v>0</v>
      </c>
      <c r="N1121" s="2"/>
      <c r="O1121" s="14">
        <v>0</v>
      </c>
      <c r="P1121" s="55"/>
      <c r="Q1121" s="14">
        <v>0</v>
      </c>
      <c r="R1121" s="2"/>
      <c r="S1121" s="44">
        <f>[1]!DDIFF(0,0)</f>
        <v>0</v>
      </c>
      <c r="T1121" s="2"/>
      <c r="U1121" s="1"/>
      <c r="V1121" s="62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  <c r="AJ1121" s="1"/>
      <c r="AK1121" s="1"/>
      <c r="AL1121" s="1"/>
      <c r="AM1121" s="1"/>
      <c r="AN1121" s="1"/>
      <c r="AO1121" s="1"/>
      <c r="AP1121" s="1"/>
      <c r="AQ1121" s="1"/>
      <c r="AR1121" s="1"/>
      <c r="AS1121" s="1"/>
      <c r="AT1121" s="1"/>
      <c r="AU1121" s="1"/>
      <c r="AV1121" s="1"/>
      <c r="AW1121" s="1"/>
      <c r="AX1121" s="1"/>
      <c r="AY1121" s="1"/>
      <c r="AZ1121" s="1"/>
      <c r="BA1121" s="1"/>
      <c r="BB1121" s="1"/>
      <c r="BC1121" s="1"/>
      <c r="BD1121" s="1"/>
      <c r="BE1121" s="1"/>
      <c r="BF1121" s="1"/>
      <c r="BG1121" s="1"/>
      <c r="BH1121" s="1"/>
      <c r="BI1121" s="1"/>
      <c r="BJ1121" s="1"/>
      <c r="BK1121" s="1"/>
      <c r="BL1121" s="1"/>
      <c r="BM1121" s="1"/>
      <c r="BN1121" s="1"/>
      <c r="BO1121" s="1"/>
    </row>
    <row r="1122" spans="1:67" hidden="1" x14ac:dyDescent="0.25">
      <c r="A1122" t="s">
        <v>2557</v>
      </c>
      <c r="E1122" s="42" t="s">
        <v>2558</v>
      </c>
      <c r="F1122" s="43" t="s">
        <v>2550</v>
      </c>
      <c r="G1122" s="14">
        <v>0</v>
      </c>
      <c r="H1122" s="2"/>
      <c r="I1122" s="19"/>
      <c r="J1122" s="14">
        <v>0</v>
      </c>
      <c r="K1122" s="2"/>
      <c r="L1122" s="19"/>
      <c r="M1122" s="14">
        <v>0</v>
      </c>
      <c r="N1122" s="2"/>
      <c r="O1122" s="14">
        <v>0</v>
      </c>
      <c r="P1122" s="55"/>
      <c r="Q1122" s="14">
        <v>0</v>
      </c>
      <c r="R1122" s="2"/>
      <c r="S1122" s="44">
        <f>[1]!DDIFF(0,0)</f>
        <v>0</v>
      </c>
      <c r="T1122" s="2"/>
      <c r="U1122" s="1"/>
      <c r="V1122" s="62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  <c r="AL1122" s="1"/>
      <c r="AM1122" s="1"/>
      <c r="AN1122" s="1"/>
      <c r="AO1122" s="1"/>
      <c r="AP1122" s="1"/>
      <c r="AQ1122" s="1"/>
      <c r="AR1122" s="1"/>
      <c r="AS1122" s="1"/>
      <c r="AT1122" s="1"/>
      <c r="AU1122" s="1"/>
      <c r="AV1122" s="1"/>
      <c r="AW1122" s="1"/>
      <c r="AX1122" s="1"/>
      <c r="AY1122" s="1"/>
      <c r="AZ1122" s="1"/>
      <c r="BA1122" s="1"/>
      <c r="BB1122" s="1"/>
      <c r="BC1122" s="1"/>
      <c r="BD1122" s="1"/>
      <c r="BE1122" s="1"/>
      <c r="BF1122" s="1"/>
      <c r="BG1122" s="1"/>
      <c r="BH1122" s="1"/>
      <c r="BI1122" s="1"/>
      <c r="BJ1122" s="1"/>
      <c r="BK1122" s="1"/>
      <c r="BL1122" s="1"/>
      <c r="BM1122" s="1"/>
      <c r="BN1122" s="1"/>
      <c r="BO1122" s="1"/>
    </row>
    <row r="1123" spans="1:67" hidden="1" x14ac:dyDescent="0.25">
      <c r="A1123" t="s">
        <v>2417</v>
      </c>
      <c r="E1123" s="42" t="s">
        <v>2418</v>
      </c>
      <c r="F1123" s="43" t="s">
        <v>1813</v>
      </c>
      <c r="G1123" s="14">
        <v>0</v>
      </c>
      <c r="H1123" s="2"/>
      <c r="I1123" s="19"/>
      <c r="J1123" s="14">
        <v>0</v>
      </c>
      <c r="K1123" s="2"/>
      <c r="L1123" s="19"/>
      <c r="M1123" s="14">
        <v>0</v>
      </c>
      <c r="N1123" s="2"/>
      <c r="O1123" s="14">
        <v>0</v>
      </c>
      <c r="P1123" s="55"/>
      <c r="Q1123" s="14">
        <v>0</v>
      </c>
      <c r="R1123" s="2"/>
      <c r="S1123" s="44">
        <f>[1]!DDIFF(0,0)</f>
        <v>0</v>
      </c>
      <c r="T1123" s="2"/>
      <c r="U1123" s="1"/>
      <c r="V1123" s="62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  <c r="AL1123" s="1"/>
      <c r="AM1123" s="1"/>
      <c r="AN1123" s="1"/>
      <c r="AO1123" s="1"/>
      <c r="AP1123" s="1"/>
      <c r="AQ1123" s="1"/>
      <c r="AR1123" s="1"/>
      <c r="AS1123" s="1"/>
      <c r="AT1123" s="1"/>
      <c r="AU1123" s="1"/>
      <c r="AV1123" s="1"/>
      <c r="AW1123" s="1"/>
      <c r="AX1123" s="1"/>
      <c r="AY1123" s="1"/>
      <c r="AZ1123" s="1"/>
      <c r="BA1123" s="1"/>
      <c r="BB1123" s="1"/>
      <c r="BC1123" s="1"/>
      <c r="BD1123" s="1"/>
      <c r="BE1123" s="1"/>
      <c r="BF1123" s="1"/>
      <c r="BG1123" s="1"/>
      <c r="BH1123" s="1"/>
      <c r="BI1123" s="1"/>
      <c r="BJ1123" s="1"/>
      <c r="BK1123" s="1"/>
      <c r="BL1123" s="1"/>
      <c r="BM1123" s="1"/>
      <c r="BN1123" s="1"/>
      <c r="BO1123" s="1"/>
    </row>
    <row r="1124" spans="1:67" hidden="1" x14ac:dyDescent="0.25">
      <c r="A1124" t="s">
        <v>2419</v>
      </c>
      <c r="E1124" s="42" t="s">
        <v>2420</v>
      </c>
      <c r="F1124" s="43" t="s">
        <v>2391</v>
      </c>
      <c r="G1124" s="14">
        <v>0</v>
      </c>
      <c r="H1124" s="2"/>
      <c r="I1124" s="19"/>
      <c r="J1124" s="14">
        <v>0</v>
      </c>
      <c r="K1124" s="2"/>
      <c r="L1124" s="19"/>
      <c r="M1124" s="14">
        <v>0</v>
      </c>
      <c r="N1124" s="2"/>
      <c r="O1124" s="14">
        <v>0</v>
      </c>
      <c r="P1124" s="55"/>
      <c r="Q1124" s="14">
        <v>0</v>
      </c>
      <c r="R1124" s="2"/>
      <c r="S1124" s="44">
        <f>[1]!DDIFF(0,0)</f>
        <v>0</v>
      </c>
      <c r="T1124" s="2"/>
      <c r="U1124" s="1"/>
      <c r="V1124" s="62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  <c r="AL1124" s="1"/>
      <c r="AM1124" s="1"/>
      <c r="AN1124" s="1"/>
      <c r="AO1124" s="1"/>
      <c r="AP1124" s="1"/>
      <c r="AQ1124" s="1"/>
      <c r="AR1124" s="1"/>
      <c r="AS1124" s="1"/>
      <c r="AT1124" s="1"/>
      <c r="AU1124" s="1"/>
      <c r="AV1124" s="1"/>
      <c r="AW1124" s="1"/>
      <c r="AX1124" s="1"/>
      <c r="AY1124" s="1"/>
      <c r="AZ1124" s="1"/>
      <c r="BA1124" s="1"/>
      <c r="BB1124" s="1"/>
      <c r="BC1124" s="1"/>
      <c r="BD1124" s="1"/>
      <c r="BE1124" s="1"/>
      <c r="BF1124" s="1"/>
      <c r="BG1124" s="1"/>
      <c r="BH1124" s="1"/>
      <c r="BI1124" s="1"/>
      <c r="BJ1124" s="1"/>
      <c r="BK1124" s="1"/>
      <c r="BL1124" s="1"/>
      <c r="BM1124" s="1"/>
      <c r="BN1124" s="1"/>
      <c r="BO1124" s="1"/>
    </row>
    <row r="1125" spans="1:67" hidden="1" x14ac:dyDescent="0.25">
      <c r="A1125" t="s">
        <v>2421</v>
      </c>
      <c r="E1125" s="42" t="s">
        <v>2422</v>
      </c>
      <c r="F1125" s="43" t="s">
        <v>2423</v>
      </c>
      <c r="G1125" s="14">
        <v>0</v>
      </c>
      <c r="H1125" s="2"/>
      <c r="I1125" s="19"/>
      <c r="J1125" s="14">
        <v>0</v>
      </c>
      <c r="K1125" s="2"/>
      <c r="L1125" s="19"/>
      <c r="M1125" s="14">
        <v>0</v>
      </c>
      <c r="N1125" s="2"/>
      <c r="O1125" s="14">
        <v>0</v>
      </c>
      <c r="P1125" s="55"/>
      <c r="Q1125" s="14">
        <v>0</v>
      </c>
      <c r="R1125" s="2"/>
      <c r="S1125" s="44">
        <f>[1]!DDIFF(0,0)</f>
        <v>0</v>
      </c>
      <c r="T1125" s="2"/>
      <c r="U1125" s="1"/>
      <c r="V1125" s="62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  <c r="AL1125" s="1"/>
      <c r="AM1125" s="1"/>
      <c r="AN1125" s="1"/>
      <c r="AO1125" s="1"/>
      <c r="AP1125" s="1"/>
      <c r="AQ1125" s="1"/>
      <c r="AR1125" s="1"/>
      <c r="AS1125" s="1"/>
      <c r="AT1125" s="1"/>
      <c r="AU1125" s="1"/>
      <c r="AV1125" s="1"/>
      <c r="AW1125" s="1"/>
      <c r="AX1125" s="1"/>
      <c r="AY1125" s="1"/>
      <c r="AZ1125" s="1"/>
      <c r="BA1125" s="1"/>
      <c r="BB1125" s="1"/>
      <c r="BC1125" s="1"/>
      <c r="BD1125" s="1"/>
      <c r="BE1125" s="1"/>
      <c r="BF1125" s="1"/>
      <c r="BG1125" s="1"/>
      <c r="BH1125" s="1"/>
      <c r="BI1125" s="1"/>
      <c r="BJ1125" s="1"/>
      <c r="BK1125" s="1"/>
      <c r="BL1125" s="1"/>
      <c r="BM1125" s="1"/>
      <c r="BN1125" s="1"/>
      <c r="BO1125" s="1"/>
    </row>
    <row r="1126" spans="1:67" hidden="1" x14ac:dyDescent="0.25">
      <c r="A1126" t="s">
        <v>2424</v>
      </c>
      <c r="E1126" s="42" t="s">
        <v>2425</v>
      </c>
      <c r="F1126" s="43" t="s">
        <v>1662</v>
      </c>
      <c r="G1126" s="14">
        <v>0</v>
      </c>
      <c r="H1126" s="2"/>
      <c r="I1126" s="19"/>
      <c r="J1126" s="14">
        <v>0</v>
      </c>
      <c r="K1126" s="2"/>
      <c r="L1126" s="19"/>
      <c r="M1126" s="14">
        <v>0</v>
      </c>
      <c r="N1126" s="2"/>
      <c r="O1126" s="14">
        <v>0</v>
      </c>
      <c r="P1126" s="55"/>
      <c r="Q1126" s="14">
        <v>0</v>
      </c>
      <c r="R1126" s="2"/>
      <c r="S1126" s="44">
        <f>[1]!DDIFF(0,0)</f>
        <v>0</v>
      </c>
      <c r="T1126" s="2"/>
      <c r="U1126" s="1"/>
      <c r="V1126" s="62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  <c r="AL1126" s="1"/>
      <c r="AM1126" s="1"/>
      <c r="AN1126" s="1"/>
      <c r="AO1126" s="1"/>
      <c r="AP1126" s="1"/>
      <c r="AQ1126" s="1"/>
      <c r="AR1126" s="1"/>
      <c r="AS1126" s="1"/>
      <c r="AT1126" s="1"/>
      <c r="AU1126" s="1"/>
      <c r="AV1126" s="1"/>
      <c r="AW1126" s="1"/>
      <c r="AX1126" s="1"/>
      <c r="AY1126" s="1"/>
      <c r="AZ1126" s="1"/>
      <c r="BA1126" s="1"/>
      <c r="BB1126" s="1"/>
      <c r="BC1126" s="1"/>
      <c r="BD1126" s="1"/>
      <c r="BE1126" s="1"/>
      <c r="BF1126" s="1"/>
      <c r="BG1126" s="1"/>
      <c r="BH1126" s="1"/>
      <c r="BI1126" s="1"/>
      <c r="BJ1126" s="1"/>
      <c r="BK1126" s="1"/>
      <c r="BL1126" s="1"/>
      <c r="BM1126" s="1"/>
      <c r="BN1126" s="1"/>
      <c r="BO1126" s="1"/>
    </row>
    <row r="1127" spans="1:67" hidden="1" x14ac:dyDescent="0.25">
      <c r="A1127" t="s">
        <v>2426</v>
      </c>
      <c r="E1127" s="42" t="s">
        <v>2427</v>
      </c>
      <c r="F1127" s="43" t="s">
        <v>2402</v>
      </c>
      <c r="G1127" s="14">
        <v>0</v>
      </c>
      <c r="H1127" s="2"/>
      <c r="I1127" s="19"/>
      <c r="J1127" s="14">
        <v>0</v>
      </c>
      <c r="K1127" s="2"/>
      <c r="L1127" s="19"/>
      <c r="M1127" s="14">
        <v>0</v>
      </c>
      <c r="N1127" s="2"/>
      <c r="O1127" s="14">
        <v>0</v>
      </c>
      <c r="P1127" s="55"/>
      <c r="Q1127" s="14">
        <v>0</v>
      </c>
      <c r="R1127" s="2"/>
      <c r="S1127" s="44">
        <f>[1]!DDIFF(0,0)</f>
        <v>0</v>
      </c>
      <c r="T1127" s="2"/>
      <c r="U1127" s="1"/>
      <c r="V1127" s="62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  <c r="AL1127" s="1"/>
      <c r="AM1127" s="1"/>
      <c r="AN1127" s="1"/>
      <c r="AO1127" s="1"/>
      <c r="AP1127" s="1"/>
      <c r="AQ1127" s="1"/>
      <c r="AR1127" s="1"/>
      <c r="AS1127" s="1"/>
      <c r="AT1127" s="1"/>
      <c r="AU1127" s="1"/>
      <c r="AV1127" s="1"/>
      <c r="AW1127" s="1"/>
      <c r="AX1127" s="1"/>
      <c r="AY1127" s="1"/>
      <c r="AZ1127" s="1"/>
      <c r="BA1127" s="1"/>
      <c r="BB1127" s="1"/>
      <c r="BC1127" s="1"/>
      <c r="BD1127" s="1"/>
      <c r="BE1127" s="1"/>
      <c r="BF1127" s="1"/>
      <c r="BG1127" s="1"/>
      <c r="BH1127" s="1"/>
      <c r="BI1127" s="1"/>
      <c r="BJ1127" s="1"/>
      <c r="BK1127" s="1"/>
      <c r="BL1127" s="1"/>
      <c r="BM1127" s="1"/>
      <c r="BN1127" s="1"/>
      <c r="BO1127" s="1"/>
    </row>
    <row r="1128" spans="1:67" hidden="1" x14ac:dyDescent="0.25">
      <c r="A1128" t="s">
        <v>2428</v>
      </c>
      <c r="E1128" s="42" t="s">
        <v>2429</v>
      </c>
      <c r="F1128" s="43" t="s">
        <v>2402</v>
      </c>
      <c r="G1128" s="14">
        <v>0</v>
      </c>
      <c r="H1128" s="2"/>
      <c r="I1128" s="19"/>
      <c r="J1128" s="14">
        <v>0</v>
      </c>
      <c r="K1128" s="2"/>
      <c r="L1128" s="19"/>
      <c r="M1128" s="14">
        <v>0</v>
      </c>
      <c r="N1128" s="2"/>
      <c r="O1128" s="14">
        <v>0</v>
      </c>
      <c r="P1128" s="55"/>
      <c r="Q1128" s="14">
        <v>0</v>
      </c>
      <c r="R1128" s="2"/>
      <c r="S1128" s="44">
        <f>[1]!DDIFF(0,0)</f>
        <v>0</v>
      </c>
      <c r="T1128" s="2"/>
      <c r="U1128" s="1"/>
      <c r="V1128" s="62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  <c r="AL1128" s="1"/>
      <c r="AM1128" s="1"/>
      <c r="AN1128" s="1"/>
      <c r="AO1128" s="1"/>
      <c r="AP1128" s="1"/>
      <c r="AQ1128" s="1"/>
      <c r="AR1128" s="1"/>
      <c r="AS1128" s="1"/>
      <c r="AT1128" s="1"/>
      <c r="AU1128" s="1"/>
      <c r="AV1128" s="1"/>
      <c r="AW1128" s="1"/>
      <c r="AX1128" s="1"/>
      <c r="AY1128" s="1"/>
      <c r="AZ1128" s="1"/>
      <c r="BA1128" s="1"/>
      <c r="BB1128" s="1"/>
      <c r="BC1128" s="1"/>
      <c r="BD1128" s="1"/>
      <c r="BE1128" s="1"/>
      <c r="BF1128" s="1"/>
      <c r="BG1128" s="1"/>
      <c r="BH1128" s="1"/>
      <c r="BI1128" s="1"/>
      <c r="BJ1128" s="1"/>
      <c r="BK1128" s="1"/>
      <c r="BL1128" s="1"/>
      <c r="BM1128" s="1"/>
      <c r="BN1128" s="1"/>
      <c r="BO1128" s="1"/>
    </row>
    <row r="1129" spans="1:67" hidden="1" x14ac:dyDescent="0.25">
      <c r="A1129" t="s">
        <v>2645</v>
      </c>
      <c r="E1129" s="45" t="s">
        <v>2646</v>
      </c>
      <c r="F1129" s="46" t="s">
        <v>2644</v>
      </c>
      <c r="G1129" s="15">
        <v>0</v>
      </c>
      <c r="H1129" s="3"/>
      <c r="I1129" s="20"/>
      <c r="J1129" s="15">
        <v>0</v>
      </c>
      <c r="K1129" s="3"/>
      <c r="L1129" s="20"/>
      <c r="M1129" s="15">
        <v>0</v>
      </c>
      <c r="N1129" s="3"/>
      <c r="O1129" s="15">
        <v>0</v>
      </c>
      <c r="P1129" s="55"/>
      <c r="Q1129" s="15">
        <v>0</v>
      </c>
      <c r="R1129" s="3"/>
      <c r="S1129" s="47">
        <f>[1]!DDIFF(0,0)</f>
        <v>0</v>
      </c>
      <c r="T1129" s="3"/>
      <c r="U1129" s="1"/>
      <c r="V1129" s="62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  <c r="AJ1129" s="1"/>
      <c r="AK1129" s="1"/>
      <c r="AL1129" s="1"/>
      <c r="AM1129" s="1"/>
      <c r="AN1129" s="1"/>
      <c r="AO1129" s="1"/>
      <c r="AP1129" s="1"/>
      <c r="AQ1129" s="1"/>
      <c r="AR1129" s="1"/>
      <c r="AS1129" s="1"/>
      <c r="AT1129" s="1"/>
      <c r="AU1129" s="1"/>
      <c r="AV1129" s="1"/>
      <c r="AW1129" s="1"/>
      <c r="AX1129" s="1"/>
      <c r="AY1129" s="1"/>
      <c r="AZ1129" s="1"/>
      <c r="BA1129" s="1"/>
      <c r="BB1129" s="1"/>
      <c r="BC1129" s="1"/>
      <c r="BD1129" s="1"/>
      <c r="BE1129" s="1"/>
      <c r="BF1129" s="1"/>
      <c r="BG1129" s="1"/>
      <c r="BH1129" s="1"/>
      <c r="BI1129" s="1"/>
      <c r="BJ1129" s="1"/>
      <c r="BK1129" s="1"/>
      <c r="BL1129" s="1"/>
      <c r="BM1129" s="1"/>
      <c r="BN1129" s="1"/>
      <c r="BO1129" s="1"/>
    </row>
    <row r="1130" spans="1:67" hidden="1" x14ac:dyDescent="0.25">
      <c r="A1130" t="s">
        <v>2647</v>
      </c>
      <c r="H1130" s="1"/>
      <c r="K1130" s="1"/>
      <c r="N1130" s="1"/>
      <c r="P1130" s="55"/>
      <c r="R1130" s="1"/>
      <c r="T1130" s="1"/>
      <c r="U1130" s="1"/>
      <c r="V1130" s="62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  <c r="AJ1130" s="1"/>
      <c r="AK1130" s="1"/>
      <c r="AL1130" s="1"/>
      <c r="AM1130" s="1"/>
      <c r="AN1130" s="1"/>
      <c r="AO1130" s="1"/>
      <c r="AP1130" s="1"/>
      <c r="AQ1130" s="1"/>
      <c r="AR1130" s="1"/>
      <c r="AS1130" s="1"/>
      <c r="AT1130" s="1"/>
      <c r="AU1130" s="1"/>
      <c r="AV1130" s="1"/>
      <c r="AW1130" s="1"/>
      <c r="AX1130" s="1"/>
      <c r="AY1130" s="1"/>
      <c r="AZ1130" s="1"/>
      <c r="BA1130" s="1"/>
      <c r="BB1130" s="1"/>
      <c r="BC1130" s="1"/>
      <c r="BD1130" s="1"/>
      <c r="BE1130" s="1"/>
      <c r="BF1130" s="1"/>
      <c r="BG1130" s="1"/>
      <c r="BH1130" s="1"/>
      <c r="BI1130" s="1"/>
      <c r="BJ1130" s="1"/>
      <c r="BK1130" s="1"/>
      <c r="BL1130" s="1"/>
      <c r="BM1130" s="1"/>
      <c r="BN1130" s="1"/>
      <c r="BO1130" s="1"/>
    </row>
    <row r="1131" spans="1:67" x14ac:dyDescent="0.25">
      <c r="A1131" t="s">
        <v>2648</v>
      </c>
      <c r="E1131" s="40" t="s">
        <v>2649</v>
      </c>
      <c r="F1131" s="41" t="s">
        <v>2650</v>
      </c>
      <c r="H1131" s="1"/>
      <c r="K1131" s="1"/>
      <c r="N1131" s="1"/>
      <c r="P1131" s="55"/>
      <c r="R1131" s="1"/>
      <c r="T1131" s="1"/>
      <c r="U1131" s="1"/>
      <c r="V1131" s="62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  <c r="AJ1131" s="1"/>
      <c r="AK1131" s="1"/>
      <c r="AL1131" s="1"/>
      <c r="AM1131" s="1"/>
      <c r="AN1131" s="1"/>
      <c r="AO1131" s="1"/>
      <c r="AP1131" s="1"/>
      <c r="AQ1131" s="1"/>
      <c r="AR1131" s="1"/>
      <c r="AS1131" s="1"/>
      <c r="AT1131" s="1"/>
      <c r="AU1131" s="1"/>
      <c r="AV1131" s="1"/>
      <c r="AW1131" s="1"/>
      <c r="AX1131" s="1"/>
      <c r="AY1131" s="1"/>
      <c r="AZ1131" s="1"/>
      <c r="BA1131" s="1"/>
      <c r="BB1131" s="1"/>
      <c r="BC1131" s="1"/>
      <c r="BD1131" s="1"/>
      <c r="BE1131" s="1"/>
      <c r="BF1131" s="1"/>
      <c r="BG1131" s="1"/>
      <c r="BH1131" s="1"/>
      <c r="BI1131" s="1"/>
      <c r="BJ1131" s="1"/>
      <c r="BK1131" s="1"/>
      <c r="BL1131" s="1"/>
      <c r="BM1131" s="1"/>
      <c r="BN1131" s="1"/>
      <c r="BO1131" s="1"/>
    </row>
    <row r="1132" spans="1:67" collapsed="1" x14ac:dyDescent="0.25">
      <c r="A1132" t="s">
        <v>2447</v>
      </c>
      <c r="E1132" s="42" t="s">
        <v>2448</v>
      </c>
      <c r="F1132" s="43" t="s">
        <v>2449</v>
      </c>
      <c r="G1132" s="14">
        <v>172844</v>
      </c>
      <c r="H1132" s="2"/>
      <c r="I1132" s="19"/>
      <c r="J1132" s="14">
        <v>-126547</v>
      </c>
      <c r="K1132" s="2"/>
      <c r="L1132" s="19"/>
      <c r="M1132" s="14">
        <v>0</v>
      </c>
      <c r="N1132" s="2"/>
      <c r="O1132" s="14">
        <v>46297</v>
      </c>
      <c r="P1132" s="55" t="s">
        <v>2863</v>
      </c>
      <c r="Q1132" s="14">
        <v>55245</v>
      </c>
      <c r="R1132" s="2"/>
      <c r="S1132" s="44">
        <f>[1]!DDIFF(55245,46297)</f>
        <v>-8948</v>
      </c>
      <c r="T1132" s="2"/>
      <c r="U1132" s="1"/>
      <c r="V1132" s="62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  <c r="AJ1132" s="1"/>
      <c r="AK1132" s="1"/>
      <c r="AL1132" s="1"/>
      <c r="AM1132" s="1"/>
      <c r="AN1132" s="1"/>
      <c r="AO1132" s="1"/>
      <c r="AP1132" s="1"/>
      <c r="AQ1132" s="1"/>
      <c r="AR1132" s="1"/>
      <c r="AS1132" s="1"/>
      <c r="AT1132" s="1"/>
      <c r="AU1132" s="1"/>
      <c r="AV1132" s="1"/>
      <c r="AW1132" s="1"/>
      <c r="AX1132" s="1"/>
      <c r="AY1132" s="1"/>
      <c r="AZ1132" s="1"/>
      <c r="BA1132" s="1"/>
      <c r="BB1132" s="1"/>
      <c r="BC1132" s="1"/>
      <c r="BD1132" s="1"/>
      <c r="BE1132" s="1"/>
      <c r="BF1132" s="1"/>
      <c r="BG1132" s="1"/>
      <c r="BH1132" s="1"/>
      <c r="BI1132" s="1"/>
      <c r="BJ1132" s="1"/>
      <c r="BK1132" s="1"/>
      <c r="BL1132" s="1"/>
      <c r="BM1132" s="1"/>
      <c r="BN1132" s="1"/>
      <c r="BO1132" s="1"/>
    </row>
    <row r="1133" spans="1:67" hidden="1" outlineLevel="1" x14ac:dyDescent="0.25">
      <c r="A1133" t="s">
        <v>2805</v>
      </c>
      <c r="E1133" s="7"/>
      <c r="F1133" s="10"/>
      <c r="G1133" s="14"/>
      <c r="H1133" s="2"/>
      <c r="I1133" s="54" t="s">
        <v>2799</v>
      </c>
      <c r="J1133" s="14">
        <v>-5599</v>
      </c>
      <c r="K1133" s="2"/>
      <c r="L1133" s="19"/>
      <c r="M1133" s="14"/>
      <c r="N1133" s="2"/>
      <c r="O1133" s="14"/>
      <c r="P1133" s="55"/>
      <c r="Q1133" s="14"/>
      <c r="R1133" s="2"/>
      <c r="S1133" s="14"/>
      <c r="T1133" s="2"/>
      <c r="U1133" s="1"/>
      <c r="V1133" s="62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  <c r="AJ1133" s="1"/>
      <c r="AK1133" s="1"/>
      <c r="AL1133" s="1"/>
      <c r="AM1133" s="1"/>
      <c r="AN1133" s="1"/>
      <c r="AO1133" s="1"/>
      <c r="AP1133" s="1"/>
      <c r="AQ1133" s="1"/>
      <c r="AR1133" s="1"/>
      <c r="AS1133" s="1"/>
      <c r="AT1133" s="1"/>
      <c r="AU1133" s="1"/>
      <c r="AV1133" s="1"/>
      <c r="AW1133" s="1"/>
      <c r="AX1133" s="1"/>
      <c r="AY1133" s="1"/>
      <c r="AZ1133" s="1"/>
      <c r="BA1133" s="1"/>
      <c r="BB1133" s="1"/>
      <c r="BC1133" s="1"/>
      <c r="BD1133" s="1"/>
      <c r="BE1133" s="1"/>
      <c r="BF1133" s="1"/>
      <c r="BG1133" s="1"/>
      <c r="BH1133" s="1"/>
      <c r="BI1133" s="1"/>
      <c r="BJ1133" s="1"/>
      <c r="BK1133" s="1"/>
      <c r="BL1133" s="1"/>
      <c r="BM1133" s="1"/>
      <c r="BN1133" s="1"/>
      <c r="BO1133" s="1"/>
    </row>
    <row r="1134" spans="1:67" hidden="1" outlineLevel="1" x14ac:dyDescent="0.25">
      <c r="A1134" t="s">
        <v>2808</v>
      </c>
      <c r="E1134" s="7"/>
      <c r="F1134" s="10"/>
      <c r="G1134" s="14"/>
      <c r="H1134" s="2"/>
      <c r="I1134" s="54" t="s">
        <v>2807</v>
      </c>
      <c r="J1134" s="14">
        <v>-120948</v>
      </c>
      <c r="K1134" s="2"/>
      <c r="L1134" s="19"/>
      <c r="M1134" s="14"/>
      <c r="N1134" s="2"/>
      <c r="O1134" s="14"/>
      <c r="P1134" s="55"/>
      <c r="Q1134" s="14"/>
      <c r="R1134" s="2"/>
      <c r="S1134" s="14"/>
      <c r="T1134" s="2"/>
      <c r="U1134" s="1"/>
      <c r="V1134" s="62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  <c r="AJ1134" s="1"/>
      <c r="AK1134" s="1"/>
      <c r="AL1134" s="1"/>
      <c r="AM1134" s="1"/>
      <c r="AN1134" s="1"/>
      <c r="AO1134" s="1"/>
      <c r="AP1134" s="1"/>
      <c r="AQ1134" s="1"/>
      <c r="AR1134" s="1"/>
      <c r="AS1134" s="1"/>
      <c r="AT1134" s="1"/>
      <c r="AU1134" s="1"/>
      <c r="AV1134" s="1"/>
      <c r="AW1134" s="1"/>
      <c r="AX1134" s="1"/>
      <c r="AY1134" s="1"/>
      <c r="AZ1134" s="1"/>
      <c r="BA1134" s="1"/>
      <c r="BB1134" s="1"/>
      <c r="BC1134" s="1"/>
      <c r="BD1134" s="1"/>
      <c r="BE1134" s="1"/>
      <c r="BF1134" s="1"/>
      <c r="BG1134" s="1"/>
      <c r="BH1134" s="1"/>
      <c r="BI1134" s="1"/>
      <c r="BJ1134" s="1"/>
      <c r="BK1134" s="1"/>
      <c r="BL1134" s="1"/>
      <c r="BM1134" s="1"/>
      <c r="BN1134" s="1"/>
      <c r="BO1134" s="1"/>
    </row>
    <row r="1135" spans="1:67" x14ac:dyDescent="0.25">
      <c r="A1135" t="s">
        <v>2450</v>
      </c>
      <c r="E1135" s="42" t="s">
        <v>2451</v>
      </c>
      <c r="F1135" s="43" t="s">
        <v>2449</v>
      </c>
      <c r="G1135" s="14">
        <v>15435</v>
      </c>
      <c r="H1135" s="2"/>
      <c r="I1135" s="19"/>
      <c r="J1135" s="14">
        <v>0</v>
      </c>
      <c r="K1135" s="2"/>
      <c r="L1135" s="19"/>
      <c r="M1135" s="14">
        <v>0</v>
      </c>
      <c r="N1135" s="2"/>
      <c r="O1135" s="14">
        <v>15435</v>
      </c>
      <c r="P1135" s="55" t="s">
        <v>2863</v>
      </c>
      <c r="Q1135" s="14">
        <v>13273</v>
      </c>
      <c r="R1135" s="2"/>
      <c r="S1135" s="44">
        <f>[1]!DDIFF(13273,15435)</f>
        <v>2162</v>
      </c>
      <c r="T1135" s="2"/>
      <c r="U1135" s="1"/>
      <c r="V1135" s="62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  <c r="AJ1135" s="1"/>
      <c r="AK1135" s="1"/>
      <c r="AL1135" s="1"/>
      <c r="AM1135" s="1"/>
      <c r="AN1135" s="1"/>
      <c r="AO1135" s="1"/>
      <c r="AP1135" s="1"/>
      <c r="AQ1135" s="1"/>
      <c r="AR1135" s="1"/>
      <c r="AS1135" s="1"/>
      <c r="AT1135" s="1"/>
      <c r="AU1135" s="1"/>
      <c r="AV1135" s="1"/>
      <c r="AW1135" s="1"/>
      <c r="AX1135" s="1"/>
      <c r="AY1135" s="1"/>
      <c r="AZ1135" s="1"/>
      <c r="BA1135" s="1"/>
      <c r="BB1135" s="1"/>
      <c r="BC1135" s="1"/>
      <c r="BD1135" s="1"/>
      <c r="BE1135" s="1"/>
      <c r="BF1135" s="1"/>
      <c r="BG1135" s="1"/>
      <c r="BH1135" s="1"/>
      <c r="BI1135" s="1"/>
      <c r="BJ1135" s="1"/>
      <c r="BK1135" s="1"/>
      <c r="BL1135" s="1"/>
      <c r="BM1135" s="1"/>
      <c r="BN1135" s="1"/>
      <c r="BO1135" s="1"/>
    </row>
    <row r="1136" spans="1:67" hidden="1" x14ac:dyDescent="0.25">
      <c r="A1136" t="s">
        <v>2452</v>
      </c>
      <c r="E1136" s="42" t="s">
        <v>2453</v>
      </c>
      <c r="F1136" s="43" t="s">
        <v>2449</v>
      </c>
      <c r="G1136" s="14">
        <v>0</v>
      </c>
      <c r="H1136" s="2"/>
      <c r="I1136" s="19"/>
      <c r="J1136" s="14">
        <v>0</v>
      </c>
      <c r="K1136" s="2"/>
      <c r="L1136" s="19"/>
      <c r="M1136" s="14">
        <v>0</v>
      </c>
      <c r="N1136" s="2"/>
      <c r="O1136" s="14">
        <v>0</v>
      </c>
      <c r="P1136" s="55"/>
      <c r="Q1136" s="14">
        <v>0</v>
      </c>
      <c r="R1136" s="2"/>
      <c r="S1136" s="44">
        <f>[1]!DDIFF(0,0)</f>
        <v>0</v>
      </c>
      <c r="T1136" s="2"/>
      <c r="U1136" s="1"/>
      <c r="V1136" s="62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  <c r="AJ1136" s="1"/>
      <c r="AK1136" s="1"/>
      <c r="AL1136" s="1"/>
      <c r="AM1136" s="1"/>
      <c r="AN1136" s="1"/>
      <c r="AO1136" s="1"/>
      <c r="AP1136" s="1"/>
      <c r="AQ1136" s="1"/>
      <c r="AR1136" s="1"/>
      <c r="AS1136" s="1"/>
      <c r="AT1136" s="1"/>
      <c r="AU1136" s="1"/>
      <c r="AV1136" s="1"/>
      <c r="AW1136" s="1"/>
      <c r="AX1136" s="1"/>
      <c r="AY1136" s="1"/>
      <c r="AZ1136" s="1"/>
      <c r="BA1136" s="1"/>
      <c r="BB1136" s="1"/>
      <c r="BC1136" s="1"/>
      <c r="BD1136" s="1"/>
      <c r="BE1136" s="1"/>
      <c r="BF1136" s="1"/>
      <c r="BG1136" s="1"/>
      <c r="BH1136" s="1"/>
      <c r="BI1136" s="1"/>
      <c r="BJ1136" s="1"/>
      <c r="BK1136" s="1"/>
      <c r="BL1136" s="1"/>
      <c r="BM1136" s="1"/>
      <c r="BN1136" s="1"/>
      <c r="BO1136" s="1"/>
    </row>
    <row r="1137" spans="1:67" x14ac:dyDescent="0.25">
      <c r="A1137" t="s">
        <v>2651</v>
      </c>
      <c r="E1137" s="45" t="s">
        <v>2652</v>
      </c>
      <c r="F1137" s="46" t="s">
        <v>2650</v>
      </c>
      <c r="G1137" s="15">
        <v>188279</v>
      </c>
      <c r="H1137" s="3"/>
      <c r="I1137" s="20"/>
      <c r="J1137" s="15">
        <v>-126547</v>
      </c>
      <c r="K1137" s="3"/>
      <c r="L1137" s="20"/>
      <c r="M1137" s="15">
        <v>0</v>
      </c>
      <c r="N1137" s="3"/>
      <c r="O1137" s="15">
        <v>61732</v>
      </c>
      <c r="P1137" s="55"/>
      <c r="Q1137" s="15">
        <v>68518</v>
      </c>
      <c r="R1137" s="3"/>
      <c r="S1137" s="47">
        <f>[1]!DDIFF(68518,61732)</f>
        <v>-6786</v>
      </c>
      <c r="T1137" s="3"/>
      <c r="U1137" s="1"/>
      <c r="V1137" s="62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  <c r="AJ1137" s="1"/>
      <c r="AK1137" s="1"/>
      <c r="AL1137" s="1"/>
      <c r="AM1137" s="1"/>
      <c r="AN1137" s="1"/>
      <c r="AO1137" s="1"/>
      <c r="AP1137" s="1"/>
      <c r="AQ1137" s="1"/>
      <c r="AR1137" s="1"/>
      <c r="AS1137" s="1"/>
      <c r="AT1137" s="1"/>
      <c r="AU1137" s="1"/>
      <c r="AV1137" s="1"/>
      <c r="AW1137" s="1"/>
      <c r="AX1137" s="1"/>
      <c r="AY1137" s="1"/>
      <c r="AZ1137" s="1"/>
      <c r="BA1137" s="1"/>
      <c r="BB1137" s="1"/>
      <c r="BC1137" s="1"/>
      <c r="BD1137" s="1"/>
      <c r="BE1137" s="1"/>
      <c r="BF1137" s="1"/>
      <c r="BG1137" s="1"/>
      <c r="BH1137" s="1"/>
      <c r="BI1137" s="1"/>
      <c r="BJ1137" s="1"/>
      <c r="BK1137" s="1"/>
      <c r="BL1137" s="1"/>
      <c r="BM1137" s="1"/>
      <c r="BN1137" s="1"/>
      <c r="BO1137" s="1"/>
    </row>
    <row r="1138" spans="1:67" x14ac:dyDescent="0.25">
      <c r="A1138" t="s">
        <v>2653</v>
      </c>
      <c r="H1138" s="1"/>
      <c r="K1138" s="1"/>
      <c r="N1138" s="1"/>
      <c r="P1138" s="55"/>
      <c r="R1138" s="1"/>
      <c r="T1138" s="1"/>
      <c r="U1138" s="1"/>
      <c r="V1138" s="62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  <c r="AJ1138" s="1"/>
      <c r="AK1138" s="1"/>
      <c r="AL1138" s="1"/>
      <c r="AM1138" s="1"/>
      <c r="AN1138" s="1"/>
      <c r="AO1138" s="1"/>
      <c r="AP1138" s="1"/>
      <c r="AQ1138" s="1"/>
      <c r="AR1138" s="1"/>
      <c r="AS1138" s="1"/>
      <c r="AT1138" s="1"/>
      <c r="AU1138" s="1"/>
      <c r="AV1138" s="1"/>
      <c r="AW1138" s="1"/>
      <c r="AX1138" s="1"/>
      <c r="AY1138" s="1"/>
      <c r="AZ1138" s="1"/>
      <c r="BA1138" s="1"/>
      <c r="BB1138" s="1"/>
      <c r="BC1138" s="1"/>
      <c r="BD1138" s="1"/>
      <c r="BE1138" s="1"/>
      <c r="BF1138" s="1"/>
      <c r="BG1138" s="1"/>
      <c r="BH1138" s="1"/>
      <c r="BI1138" s="1"/>
      <c r="BJ1138" s="1"/>
      <c r="BK1138" s="1"/>
      <c r="BL1138" s="1"/>
      <c r="BM1138" s="1"/>
      <c r="BN1138" s="1"/>
      <c r="BO1138" s="1"/>
    </row>
    <row r="1139" spans="1:67" hidden="1" x14ac:dyDescent="0.25">
      <c r="A1139" t="s">
        <v>2654</v>
      </c>
      <c r="E1139" s="40" t="s">
        <v>2655</v>
      </c>
      <c r="F1139" s="41" t="s">
        <v>2656</v>
      </c>
      <c r="H1139" s="1"/>
      <c r="K1139" s="1"/>
      <c r="N1139" s="1"/>
      <c r="P1139" s="55"/>
      <c r="R1139" s="1"/>
      <c r="T1139" s="1"/>
      <c r="U1139" s="1"/>
      <c r="V1139" s="62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  <c r="AJ1139" s="1"/>
      <c r="AK1139" s="1"/>
      <c r="AL1139" s="1"/>
      <c r="AM1139" s="1"/>
      <c r="AN1139" s="1"/>
      <c r="AO1139" s="1"/>
      <c r="AP1139" s="1"/>
      <c r="AQ1139" s="1"/>
      <c r="AR1139" s="1"/>
      <c r="AS1139" s="1"/>
      <c r="AT1139" s="1"/>
      <c r="AU1139" s="1"/>
      <c r="AV1139" s="1"/>
      <c r="AW1139" s="1"/>
      <c r="AX1139" s="1"/>
      <c r="AY1139" s="1"/>
      <c r="AZ1139" s="1"/>
      <c r="BA1139" s="1"/>
      <c r="BB1139" s="1"/>
      <c r="BC1139" s="1"/>
      <c r="BD1139" s="1"/>
      <c r="BE1139" s="1"/>
      <c r="BF1139" s="1"/>
      <c r="BG1139" s="1"/>
      <c r="BH1139" s="1"/>
      <c r="BI1139" s="1"/>
      <c r="BJ1139" s="1"/>
      <c r="BK1139" s="1"/>
      <c r="BL1139" s="1"/>
      <c r="BM1139" s="1"/>
      <c r="BN1139" s="1"/>
      <c r="BO1139" s="1"/>
    </row>
    <row r="1140" spans="1:67" hidden="1" x14ac:dyDescent="0.25">
      <c r="A1140" t="s">
        <v>2535</v>
      </c>
      <c r="E1140" s="42" t="s">
        <v>2536</v>
      </c>
      <c r="F1140" s="43" t="s">
        <v>1662</v>
      </c>
      <c r="G1140" s="14">
        <v>0</v>
      </c>
      <c r="H1140" s="2"/>
      <c r="I1140" s="19"/>
      <c r="J1140" s="14">
        <v>0</v>
      </c>
      <c r="K1140" s="2"/>
      <c r="L1140" s="19"/>
      <c r="M1140" s="14">
        <v>0</v>
      </c>
      <c r="N1140" s="2"/>
      <c r="O1140" s="14">
        <v>0</v>
      </c>
      <c r="P1140" s="55"/>
      <c r="Q1140" s="14">
        <v>0</v>
      </c>
      <c r="R1140" s="2"/>
      <c r="S1140" s="44">
        <f>[1]!DDIFF(0,0)</f>
        <v>0</v>
      </c>
      <c r="T1140" s="2"/>
      <c r="U1140" s="1"/>
      <c r="V1140" s="62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  <c r="AJ1140" s="1"/>
      <c r="AK1140" s="1"/>
      <c r="AL1140" s="1"/>
      <c r="AM1140" s="1"/>
      <c r="AN1140" s="1"/>
      <c r="AO1140" s="1"/>
      <c r="AP1140" s="1"/>
      <c r="AQ1140" s="1"/>
      <c r="AR1140" s="1"/>
      <c r="AS1140" s="1"/>
      <c r="AT1140" s="1"/>
      <c r="AU1140" s="1"/>
      <c r="AV1140" s="1"/>
      <c r="AW1140" s="1"/>
      <c r="AX1140" s="1"/>
      <c r="AY1140" s="1"/>
      <c r="AZ1140" s="1"/>
      <c r="BA1140" s="1"/>
      <c r="BB1140" s="1"/>
      <c r="BC1140" s="1"/>
      <c r="BD1140" s="1"/>
      <c r="BE1140" s="1"/>
      <c r="BF1140" s="1"/>
      <c r="BG1140" s="1"/>
      <c r="BH1140" s="1"/>
      <c r="BI1140" s="1"/>
      <c r="BJ1140" s="1"/>
      <c r="BK1140" s="1"/>
      <c r="BL1140" s="1"/>
      <c r="BM1140" s="1"/>
      <c r="BN1140" s="1"/>
      <c r="BO1140" s="1"/>
    </row>
    <row r="1141" spans="1:67" hidden="1" x14ac:dyDescent="0.25">
      <c r="A1141" t="s">
        <v>2537</v>
      </c>
      <c r="E1141" s="42" t="s">
        <v>2538</v>
      </c>
      <c r="F1141" s="43" t="s">
        <v>2539</v>
      </c>
      <c r="G1141" s="14">
        <v>0</v>
      </c>
      <c r="H1141" s="2"/>
      <c r="I1141" s="19"/>
      <c r="J1141" s="14">
        <v>0</v>
      </c>
      <c r="K1141" s="2"/>
      <c r="L1141" s="19"/>
      <c r="M1141" s="14">
        <v>0</v>
      </c>
      <c r="N1141" s="2"/>
      <c r="O1141" s="14">
        <v>0</v>
      </c>
      <c r="P1141" s="55"/>
      <c r="Q1141" s="14">
        <v>0</v>
      </c>
      <c r="R1141" s="2"/>
      <c r="S1141" s="44">
        <f>[1]!DDIFF(0,0)</f>
        <v>0</v>
      </c>
      <c r="T1141" s="2"/>
      <c r="U1141" s="1"/>
      <c r="V1141" s="62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  <c r="AJ1141" s="1"/>
      <c r="AK1141" s="1"/>
      <c r="AL1141" s="1"/>
      <c r="AM1141" s="1"/>
      <c r="AN1141" s="1"/>
      <c r="AO1141" s="1"/>
      <c r="AP1141" s="1"/>
      <c r="AQ1141" s="1"/>
      <c r="AR1141" s="1"/>
      <c r="AS1141" s="1"/>
      <c r="AT1141" s="1"/>
      <c r="AU1141" s="1"/>
      <c r="AV1141" s="1"/>
      <c r="AW1141" s="1"/>
      <c r="AX1141" s="1"/>
      <c r="AY1141" s="1"/>
      <c r="AZ1141" s="1"/>
      <c r="BA1141" s="1"/>
      <c r="BB1141" s="1"/>
      <c r="BC1141" s="1"/>
      <c r="BD1141" s="1"/>
      <c r="BE1141" s="1"/>
      <c r="BF1141" s="1"/>
      <c r="BG1141" s="1"/>
      <c r="BH1141" s="1"/>
      <c r="BI1141" s="1"/>
      <c r="BJ1141" s="1"/>
      <c r="BK1141" s="1"/>
      <c r="BL1141" s="1"/>
      <c r="BM1141" s="1"/>
      <c r="BN1141" s="1"/>
      <c r="BO1141" s="1"/>
    </row>
    <row r="1142" spans="1:67" hidden="1" x14ac:dyDescent="0.25">
      <c r="A1142" t="s">
        <v>2657</v>
      </c>
      <c r="E1142" s="45" t="s">
        <v>2658</v>
      </c>
      <c r="F1142" s="46" t="s">
        <v>2656</v>
      </c>
      <c r="G1142" s="15">
        <v>0</v>
      </c>
      <c r="H1142" s="3"/>
      <c r="I1142" s="20"/>
      <c r="J1142" s="15">
        <v>0</v>
      </c>
      <c r="K1142" s="3"/>
      <c r="L1142" s="20"/>
      <c r="M1142" s="15">
        <v>0</v>
      </c>
      <c r="N1142" s="3"/>
      <c r="O1142" s="15">
        <v>0</v>
      </c>
      <c r="P1142" s="55"/>
      <c r="Q1142" s="15">
        <v>0</v>
      </c>
      <c r="R1142" s="3"/>
      <c r="S1142" s="47">
        <f>[1]!DDIFF(0,0)</f>
        <v>0</v>
      </c>
      <c r="T1142" s="3"/>
      <c r="U1142" s="1"/>
      <c r="V1142" s="62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"/>
      <c r="AH1142" s="1"/>
      <c r="AI1142" s="1"/>
      <c r="AJ1142" s="1"/>
      <c r="AK1142" s="1"/>
      <c r="AL1142" s="1"/>
      <c r="AM1142" s="1"/>
      <c r="AN1142" s="1"/>
      <c r="AO1142" s="1"/>
      <c r="AP1142" s="1"/>
      <c r="AQ1142" s="1"/>
      <c r="AR1142" s="1"/>
      <c r="AS1142" s="1"/>
      <c r="AT1142" s="1"/>
      <c r="AU1142" s="1"/>
      <c r="AV1142" s="1"/>
      <c r="AW1142" s="1"/>
      <c r="AX1142" s="1"/>
      <c r="AY1142" s="1"/>
      <c r="AZ1142" s="1"/>
      <c r="BA1142" s="1"/>
      <c r="BB1142" s="1"/>
      <c r="BC1142" s="1"/>
      <c r="BD1142" s="1"/>
      <c r="BE1142" s="1"/>
      <c r="BF1142" s="1"/>
      <c r="BG1142" s="1"/>
      <c r="BH1142" s="1"/>
      <c r="BI1142" s="1"/>
      <c r="BJ1142" s="1"/>
      <c r="BK1142" s="1"/>
      <c r="BL1142" s="1"/>
      <c r="BM1142" s="1"/>
      <c r="BN1142" s="1"/>
      <c r="BO1142" s="1"/>
    </row>
    <row r="1143" spans="1:67" hidden="1" x14ac:dyDescent="0.25">
      <c r="A1143" t="s">
        <v>2659</v>
      </c>
      <c r="H1143" s="1"/>
      <c r="K1143" s="1"/>
      <c r="N1143" s="1"/>
      <c r="P1143" s="55"/>
      <c r="R1143" s="1"/>
      <c r="T1143" s="1"/>
      <c r="U1143" s="1"/>
      <c r="V1143" s="62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  <c r="AJ1143" s="1"/>
      <c r="AK1143" s="1"/>
      <c r="AL1143" s="1"/>
      <c r="AM1143" s="1"/>
      <c r="AN1143" s="1"/>
      <c r="AO1143" s="1"/>
      <c r="AP1143" s="1"/>
      <c r="AQ1143" s="1"/>
      <c r="AR1143" s="1"/>
      <c r="AS1143" s="1"/>
      <c r="AT1143" s="1"/>
      <c r="AU1143" s="1"/>
      <c r="AV1143" s="1"/>
      <c r="AW1143" s="1"/>
      <c r="AX1143" s="1"/>
      <c r="AY1143" s="1"/>
      <c r="AZ1143" s="1"/>
      <c r="BA1143" s="1"/>
      <c r="BB1143" s="1"/>
      <c r="BC1143" s="1"/>
      <c r="BD1143" s="1"/>
      <c r="BE1143" s="1"/>
      <c r="BF1143" s="1"/>
      <c r="BG1143" s="1"/>
      <c r="BH1143" s="1"/>
      <c r="BI1143" s="1"/>
      <c r="BJ1143" s="1"/>
      <c r="BK1143" s="1"/>
      <c r="BL1143" s="1"/>
      <c r="BM1143" s="1"/>
      <c r="BN1143" s="1"/>
      <c r="BO1143" s="1"/>
    </row>
    <row r="1144" spans="1:67" hidden="1" x14ac:dyDescent="0.25">
      <c r="A1144" t="s">
        <v>1665</v>
      </c>
      <c r="E1144" s="40" t="s">
        <v>190</v>
      </c>
      <c r="F1144" s="11"/>
      <c r="H1144" s="1"/>
      <c r="K1144" s="1"/>
      <c r="N1144" s="1"/>
      <c r="P1144" s="55"/>
      <c r="R1144" s="1"/>
      <c r="T1144" s="1"/>
      <c r="U1144" s="1"/>
      <c r="V1144" s="62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  <c r="AJ1144" s="1"/>
      <c r="AK1144" s="1"/>
      <c r="AL1144" s="1"/>
      <c r="AM1144" s="1"/>
      <c r="AN1144" s="1"/>
      <c r="AO1144" s="1"/>
      <c r="AP1144" s="1"/>
      <c r="AQ1144" s="1"/>
      <c r="AR1144" s="1"/>
      <c r="AS1144" s="1"/>
      <c r="AT1144" s="1"/>
      <c r="AU1144" s="1"/>
      <c r="AV1144" s="1"/>
      <c r="AW1144" s="1"/>
      <c r="AX1144" s="1"/>
      <c r="AY1144" s="1"/>
      <c r="AZ1144" s="1"/>
      <c r="BA1144" s="1"/>
      <c r="BB1144" s="1"/>
      <c r="BC1144" s="1"/>
      <c r="BD1144" s="1"/>
      <c r="BE1144" s="1"/>
      <c r="BF1144" s="1"/>
      <c r="BG1144" s="1"/>
      <c r="BH1144" s="1"/>
      <c r="BI1144" s="1"/>
      <c r="BJ1144" s="1"/>
      <c r="BK1144" s="1"/>
      <c r="BL1144" s="1"/>
      <c r="BM1144" s="1"/>
      <c r="BN1144" s="1"/>
      <c r="BO1144" s="1"/>
    </row>
    <row r="1145" spans="1:67" hidden="1" x14ac:dyDescent="0.25">
      <c r="A1145" t="s">
        <v>1666</v>
      </c>
      <c r="E1145" s="45" t="s">
        <v>192</v>
      </c>
      <c r="F1145" s="12"/>
      <c r="G1145" s="15">
        <v>0</v>
      </c>
      <c r="H1145" s="3"/>
      <c r="I1145" s="20"/>
      <c r="J1145" s="15">
        <v>0</v>
      </c>
      <c r="K1145" s="3"/>
      <c r="L1145" s="20"/>
      <c r="M1145" s="15">
        <v>0</v>
      </c>
      <c r="N1145" s="3"/>
      <c r="O1145" s="15">
        <v>0</v>
      </c>
      <c r="P1145" s="55"/>
      <c r="Q1145" s="15">
        <v>0</v>
      </c>
      <c r="R1145" s="3"/>
      <c r="S1145" s="47">
        <f>[1]!DDIFF(0,0)</f>
        <v>0</v>
      </c>
      <c r="T1145" s="3"/>
      <c r="U1145" s="1"/>
      <c r="V1145" s="62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"/>
      <c r="AH1145" s="1"/>
      <c r="AI1145" s="1"/>
      <c r="AJ1145" s="1"/>
      <c r="AK1145" s="1"/>
      <c r="AL1145" s="1"/>
      <c r="AM1145" s="1"/>
      <c r="AN1145" s="1"/>
      <c r="AO1145" s="1"/>
      <c r="AP1145" s="1"/>
      <c r="AQ1145" s="1"/>
      <c r="AR1145" s="1"/>
      <c r="AS1145" s="1"/>
      <c r="AT1145" s="1"/>
      <c r="AU1145" s="1"/>
      <c r="AV1145" s="1"/>
      <c r="AW1145" s="1"/>
      <c r="AX1145" s="1"/>
      <c r="AY1145" s="1"/>
      <c r="AZ1145" s="1"/>
      <c r="BA1145" s="1"/>
      <c r="BB1145" s="1"/>
      <c r="BC1145" s="1"/>
      <c r="BD1145" s="1"/>
      <c r="BE1145" s="1"/>
      <c r="BF1145" s="1"/>
      <c r="BG1145" s="1"/>
      <c r="BH1145" s="1"/>
      <c r="BI1145" s="1"/>
      <c r="BJ1145" s="1"/>
      <c r="BK1145" s="1"/>
      <c r="BL1145" s="1"/>
      <c r="BM1145" s="1"/>
      <c r="BN1145" s="1"/>
      <c r="BO1145" s="1"/>
    </row>
    <row r="1146" spans="1:67" ht="15.75" thickBot="1" x14ac:dyDescent="0.3">
      <c r="A1146" t="s">
        <v>1667</v>
      </c>
      <c r="E1146" s="48" t="s">
        <v>2660</v>
      </c>
      <c r="F1146" s="49" t="s">
        <v>2620</v>
      </c>
      <c r="G1146" s="16">
        <v>9513594</v>
      </c>
      <c r="H1146" s="4"/>
      <c r="I1146" s="21"/>
      <c r="J1146" s="16">
        <v>-98818</v>
      </c>
      <c r="K1146" s="4"/>
      <c r="L1146" s="21"/>
      <c r="M1146" s="16">
        <v>28061</v>
      </c>
      <c r="N1146" s="4"/>
      <c r="O1146" s="16">
        <v>9442837</v>
      </c>
      <c r="P1146" s="55"/>
      <c r="Q1146" s="16">
        <v>8140236</v>
      </c>
      <c r="R1146" s="4"/>
      <c r="S1146" s="50">
        <f>[1]!DDIFF(8140236,9442837)</f>
        <v>1302601</v>
      </c>
      <c r="T1146" s="4"/>
      <c r="U1146" s="1"/>
      <c r="V1146" s="62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"/>
      <c r="AH1146" s="1"/>
      <c r="AI1146" s="1"/>
      <c r="AJ1146" s="1"/>
      <c r="AK1146" s="1"/>
      <c r="AL1146" s="1"/>
      <c r="AM1146" s="1"/>
      <c r="AN1146" s="1"/>
      <c r="AO1146" s="1"/>
      <c r="AP1146" s="1"/>
      <c r="AQ1146" s="1"/>
      <c r="AR1146" s="1"/>
      <c r="AS1146" s="1"/>
      <c r="AT1146" s="1"/>
      <c r="AU1146" s="1"/>
      <c r="AV1146" s="1"/>
      <c r="AW1146" s="1"/>
      <c r="AX1146" s="1"/>
      <c r="AY1146" s="1"/>
      <c r="AZ1146" s="1"/>
      <c r="BA1146" s="1"/>
      <c r="BB1146" s="1"/>
      <c r="BC1146" s="1"/>
      <c r="BD1146" s="1"/>
      <c r="BE1146" s="1"/>
      <c r="BF1146" s="1"/>
      <c r="BG1146" s="1"/>
      <c r="BH1146" s="1"/>
      <c r="BI1146" s="1"/>
      <c r="BJ1146" s="1"/>
      <c r="BK1146" s="1"/>
      <c r="BL1146" s="1"/>
      <c r="BM1146" s="1"/>
      <c r="BN1146" s="1"/>
      <c r="BO1146" s="1"/>
    </row>
    <row r="1147" spans="1:67" ht="15.75" thickTop="1" x14ac:dyDescent="0.25">
      <c r="A1147" t="s">
        <v>1668</v>
      </c>
      <c r="H1147" s="1"/>
      <c r="K1147" s="1"/>
      <c r="N1147" s="1"/>
      <c r="P1147" s="55"/>
      <c r="R1147" s="1"/>
      <c r="T1147" s="1"/>
      <c r="U1147" s="1"/>
      <c r="V1147" s="62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"/>
      <c r="AH1147" s="1"/>
      <c r="AI1147" s="1"/>
      <c r="AJ1147" s="1"/>
      <c r="AK1147" s="1"/>
      <c r="AL1147" s="1"/>
      <c r="AM1147" s="1"/>
      <c r="AN1147" s="1"/>
      <c r="AO1147" s="1"/>
      <c r="AP1147" s="1"/>
      <c r="AQ1147" s="1"/>
      <c r="AR1147" s="1"/>
      <c r="AS1147" s="1"/>
      <c r="AT1147" s="1"/>
      <c r="AU1147" s="1"/>
      <c r="AV1147" s="1"/>
      <c r="AW1147" s="1"/>
      <c r="AX1147" s="1"/>
      <c r="AY1147" s="1"/>
      <c r="AZ1147" s="1"/>
      <c r="BA1147" s="1"/>
      <c r="BB1147" s="1"/>
      <c r="BC1147" s="1"/>
      <c r="BD1147" s="1"/>
      <c r="BE1147" s="1"/>
      <c r="BF1147" s="1"/>
      <c r="BG1147" s="1"/>
      <c r="BH1147" s="1"/>
      <c r="BI1147" s="1"/>
      <c r="BJ1147" s="1"/>
      <c r="BK1147" s="1"/>
      <c r="BL1147" s="1"/>
      <c r="BM1147" s="1"/>
      <c r="BN1147" s="1"/>
      <c r="BO1147" s="1"/>
    </row>
    <row r="1148" spans="1:67" x14ac:dyDescent="0.25">
      <c r="A1148" t="s">
        <v>2559</v>
      </c>
      <c r="H1148" s="1"/>
      <c r="K1148" s="1"/>
      <c r="N1148" s="1"/>
      <c r="P1148" s="55"/>
      <c r="R1148" s="1"/>
      <c r="T1148" s="1"/>
      <c r="U1148" s="1"/>
      <c r="V1148" s="62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  <c r="AL1148" s="1"/>
      <c r="AM1148" s="1"/>
      <c r="AN1148" s="1"/>
      <c r="AO1148" s="1"/>
      <c r="AP1148" s="1"/>
      <c r="AQ1148" s="1"/>
      <c r="AR1148" s="1"/>
      <c r="AS1148" s="1"/>
      <c r="AT1148" s="1"/>
      <c r="AU1148" s="1"/>
      <c r="AV1148" s="1"/>
      <c r="AW1148" s="1"/>
      <c r="AX1148" s="1"/>
      <c r="AY1148" s="1"/>
      <c r="AZ1148" s="1"/>
      <c r="BA1148" s="1"/>
      <c r="BB1148" s="1"/>
      <c r="BC1148" s="1"/>
      <c r="BD1148" s="1"/>
      <c r="BE1148" s="1"/>
      <c r="BF1148" s="1"/>
      <c r="BG1148" s="1"/>
      <c r="BH1148" s="1"/>
      <c r="BI1148" s="1"/>
      <c r="BJ1148" s="1"/>
      <c r="BK1148" s="1"/>
      <c r="BL1148" s="1"/>
      <c r="BM1148" s="1"/>
      <c r="BN1148" s="1"/>
      <c r="BO1148" s="1"/>
    </row>
    <row r="1149" spans="1:67" x14ac:dyDescent="0.25">
      <c r="A1149" t="s">
        <v>2560</v>
      </c>
      <c r="E1149" s="8"/>
      <c r="F1149" s="51" t="s">
        <v>2561</v>
      </c>
      <c r="G1149" s="17">
        <v>-1047280</v>
      </c>
      <c r="H1149" s="5"/>
      <c r="I1149" s="22"/>
      <c r="J1149" s="17">
        <v>-97565</v>
      </c>
      <c r="K1149" s="5"/>
      <c r="L1149" s="22"/>
      <c r="M1149" s="17">
        <v>-10515</v>
      </c>
      <c r="N1149" s="5"/>
      <c r="O1149" s="17">
        <v>-1155360</v>
      </c>
      <c r="P1149" s="55"/>
      <c r="Q1149" s="17">
        <v>-583075</v>
      </c>
      <c r="R1149" s="5"/>
      <c r="S1149" s="52">
        <f>[1]!DDIFF(-583075,-1155360)</f>
        <v>-572285</v>
      </c>
      <c r="T1149" s="5"/>
      <c r="U1149" s="1"/>
      <c r="V1149" s="62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  <c r="AL1149" s="1"/>
      <c r="AM1149" s="1"/>
      <c r="AN1149" s="1"/>
      <c r="AO1149" s="1"/>
      <c r="AP1149" s="1"/>
      <c r="AQ1149" s="1"/>
      <c r="AR1149" s="1"/>
      <c r="AS1149" s="1"/>
      <c r="AT1149" s="1"/>
      <c r="AU1149" s="1"/>
      <c r="AV1149" s="1"/>
      <c r="AW1149" s="1"/>
      <c r="AX1149" s="1"/>
      <c r="AY1149" s="1"/>
      <c r="AZ1149" s="1"/>
      <c r="BA1149" s="1"/>
      <c r="BB1149" s="1"/>
      <c r="BC1149" s="1"/>
      <c r="BD1149" s="1"/>
      <c r="BE1149" s="1"/>
      <c r="BF1149" s="1"/>
      <c r="BG1149" s="1"/>
      <c r="BH1149" s="1"/>
      <c r="BI1149" s="1"/>
      <c r="BJ1149" s="1"/>
      <c r="BK1149" s="1"/>
      <c r="BL1149" s="1"/>
      <c r="BM1149" s="1"/>
      <c r="BN1149" s="1"/>
      <c r="BO1149" s="1"/>
    </row>
    <row r="1150" spans="1:67" x14ac:dyDescent="0.25"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55"/>
      <c r="Q1150" s="1"/>
      <c r="R1150" s="1"/>
      <c r="S1150" s="1"/>
      <c r="T1150" s="1"/>
      <c r="U1150" s="1"/>
      <c r="V1150" s="62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  <c r="AL1150" s="1"/>
      <c r="AM1150" s="1"/>
      <c r="AN1150" s="1"/>
      <c r="AO1150" s="1"/>
      <c r="AP1150" s="1"/>
      <c r="AQ1150" s="1"/>
      <c r="AR1150" s="1"/>
      <c r="AS1150" s="1"/>
      <c r="AT1150" s="1"/>
      <c r="AU1150" s="1"/>
      <c r="AV1150" s="1"/>
      <c r="AW1150" s="1"/>
      <c r="AX1150" s="1"/>
      <c r="AY1150" s="1"/>
      <c r="AZ1150" s="1"/>
      <c r="BA1150" s="1"/>
      <c r="BB1150" s="1"/>
      <c r="BC1150" s="1"/>
      <c r="BD1150" s="1"/>
      <c r="BE1150" s="1"/>
      <c r="BF1150" s="1"/>
      <c r="BG1150" s="1"/>
      <c r="BH1150" s="1"/>
      <c r="BI1150" s="1"/>
      <c r="BJ1150" s="1"/>
      <c r="BK1150" s="1"/>
      <c r="BL1150" s="1"/>
      <c r="BM1150" s="1"/>
      <c r="BN1150" s="1"/>
      <c r="BO1150" s="1"/>
    </row>
    <row r="1151" spans="1:67" x14ac:dyDescent="0.25"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55"/>
      <c r="Q1151" s="1"/>
      <c r="R1151" s="1"/>
      <c r="S1151" s="1"/>
      <c r="T1151" s="1"/>
      <c r="U1151" s="1"/>
      <c r="V1151" s="62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  <c r="AL1151" s="1"/>
      <c r="AM1151" s="1"/>
      <c r="AN1151" s="1"/>
      <c r="AO1151" s="1"/>
      <c r="AP1151" s="1"/>
      <c r="AQ1151" s="1"/>
      <c r="AR1151" s="1"/>
      <c r="AS1151" s="1"/>
      <c r="AT1151" s="1"/>
      <c r="AU1151" s="1"/>
      <c r="AV1151" s="1"/>
      <c r="AW1151" s="1"/>
      <c r="AX1151" s="1"/>
      <c r="AY1151" s="1"/>
      <c r="AZ1151" s="1"/>
      <c r="BA1151" s="1"/>
      <c r="BB1151" s="1"/>
      <c r="BC1151" s="1"/>
      <c r="BD1151" s="1"/>
      <c r="BE1151" s="1"/>
      <c r="BF1151" s="1"/>
      <c r="BG1151" s="1"/>
      <c r="BH1151" s="1"/>
      <c r="BI1151" s="1"/>
      <c r="BJ1151" s="1"/>
      <c r="BK1151" s="1"/>
      <c r="BL1151" s="1"/>
      <c r="BM1151" s="1"/>
      <c r="BN1151" s="1"/>
      <c r="BO1151" s="1"/>
    </row>
    <row r="1152" spans="1:67" x14ac:dyDescent="0.25"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55"/>
      <c r="Q1152" s="1"/>
      <c r="R1152" s="1"/>
      <c r="S1152" s="1"/>
      <c r="T1152" s="1"/>
      <c r="U1152" s="1"/>
      <c r="V1152" s="62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  <c r="AL1152" s="1"/>
      <c r="AM1152" s="1"/>
      <c r="AN1152" s="1"/>
      <c r="AO1152" s="1"/>
      <c r="AP1152" s="1"/>
      <c r="AQ1152" s="1"/>
      <c r="AR1152" s="1"/>
      <c r="AS1152" s="1"/>
      <c r="AT1152" s="1"/>
      <c r="AU1152" s="1"/>
      <c r="AV1152" s="1"/>
      <c r="AW1152" s="1"/>
      <c r="AX1152" s="1"/>
      <c r="AY1152" s="1"/>
      <c r="AZ1152" s="1"/>
      <c r="BA1152" s="1"/>
      <c r="BB1152" s="1"/>
      <c r="BC1152" s="1"/>
      <c r="BD1152" s="1"/>
      <c r="BE1152" s="1"/>
      <c r="BF1152" s="1"/>
      <c r="BG1152" s="1"/>
      <c r="BH1152" s="1"/>
      <c r="BI1152" s="1"/>
      <c r="BJ1152" s="1"/>
      <c r="BK1152" s="1"/>
      <c r="BL1152" s="1"/>
      <c r="BM1152" s="1"/>
      <c r="BN1152" s="1"/>
      <c r="BO1152" s="1"/>
    </row>
    <row r="1153" spans="5:67" x14ac:dyDescent="0.25"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55"/>
      <c r="Q1153" s="1"/>
      <c r="R1153" s="1"/>
      <c r="S1153" s="1"/>
      <c r="T1153" s="1"/>
      <c r="U1153" s="1"/>
      <c r="V1153" s="62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  <c r="AL1153" s="1"/>
      <c r="AM1153" s="1"/>
      <c r="AN1153" s="1"/>
      <c r="AO1153" s="1"/>
      <c r="AP1153" s="1"/>
      <c r="AQ1153" s="1"/>
      <c r="AR1153" s="1"/>
      <c r="AS1153" s="1"/>
      <c r="AT1153" s="1"/>
      <c r="AU1153" s="1"/>
      <c r="AV1153" s="1"/>
      <c r="AW1153" s="1"/>
      <c r="AX1153" s="1"/>
      <c r="AY1153" s="1"/>
      <c r="AZ1153" s="1"/>
      <c r="BA1153" s="1"/>
      <c r="BB1153" s="1"/>
      <c r="BC1153" s="1"/>
      <c r="BD1153" s="1"/>
      <c r="BE1153" s="1"/>
      <c r="BF1153" s="1"/>
      <c r="BG1153" s="1"/>
      <c r="BH1153" s="1"/>
      <c r="BI1153" s="1"/>
      <c r="BJ1153" s="1"/>
      <c r="BK1153" s="1"/>
      <c r="BL1153" s="1"/>
      <c r="BM1153" s="1"/>
      <c r="BN1153" s="1"/>
      <c r="BO1153" s="1"/>
    </row>
    <row r="1154" spans="5:67" x14ac:dyDescent="0.25"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55"/>
      <c r="Q1154" s="1"/>
      <c r="R1154" s="1"/>
      <c r="S1154" s="1"/>
      <c r="T1154" s="1"/>
      <c r="U1154" s="1"/>
      <c r="V1154" s="62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  <c r="AL1154" s="1"/>
      <c r="AM1154" s="1"/>
      <c r="AN1154" s="1"/>
      <c r="AO1154" s="1"/>
      <c r="AP1154" s="1"/>
      <c r="AQ1154" s="1"/>
      <c r="AR1154" s="1"/>
      <c r="AS1154" s="1"/>
      <c r="AT1154" s="1"/>
      <c r="AU1154" s="1"/>
      <c r="AV1154" s="1"/>
      <c r="AW1154" s="1"/>
      <c r="AX1154" s="1"/>
      <c r="AY1154" s="1"/>
      <c r="AZ1154" s="1"/>
      <c r="BA1154" s="1"/>
      <c r="BB1154" s="1"/>
      <c r="BC1154" s="1"/>
      <c r="BD1154" s="1"/>
      <c r="BE1154" s="1"/>
      <c r="BF1154" s="1"/>
      <c r="BG1154" s="1"/>
      <c r="BH1154" s="1"/>
      <c r="BI1154" s="1"/>
      <c r="BJ1154" s="1"/>
      <c r="BK1154" s="1"/>
      <c r="BL1154" s="1"/>
      <c r="BM1154" s="1"/>
      <c r="BN1154" s="1"/>
      <c r="BO1154" s="1"/>
    </row>
    <row r="1155" spans="5:67" x14ac:dyDescent="0.25"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55"/>
      <c r="Q1155" s="1"/>
      <c r="R1155" s="1"/>
      <c r="S1155" s="1"/>
      <c r="T1155" s="1"/>
      <c r="U1155" s="1"/>
      <c r="V1155" s="62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"/>
      <c r="AH1155" s="1"/>
      <c r="AI1155" s="1"/>
      <c r="AJ1155" s="1"/>
      <c r="AK1155" s="1"/>
      <c r="AL1155" s="1"/>
      <c r="AM1155" s="1"/>
      <c r="AN1155" s="1"/>
      <c r="AO1155" s="1"/>
      <c r="AP1155" s="1"/>
      <c r="AQ1155" s="1"/>
      <c r="AR1155" s="1"/>
      <c r="AS1155" s="1"/>
      <c r="AT1155" s="1"/>
      <c r="AU1155" s="1"/>
      <c r="AV1155" s="1"/>
      <c r="AW1155" s="1"/>
      <c r="AX1155" s="1"/>
      <c r="AY1155" s="1"/>
      <c r="AZ1155" s="1"/>
      <c r="BA1155" s="1"/>
      <c r="BB1155" s="1"/>
      <c r="BC1155" s="1"/>
      <c r="BD1155" s="1"/>
      <c r="BE1155" s="1"/>
      <c r="BF1155" s="1"/>
      <c r="BG1155" s="1"/>
      <c r="BH1155" s="1"/>
      <c r="BI1155" s="1"/>
      <c r="BJ1155" s="1"/>
      <c r="BK1155" s="1"/>
      <c r="BL1155" s="1"/>
      <c r="BM1155" s="1"/>
      <c r="BN1155" s="1"/>
      <c r="BO1155" s="1"/>
    </row>
    <row r="1156" spans="5:67" x14ac:dyDescent="0.25"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55"/>
      <c r="Q1156" s="1"/>
      <c r="R1156" s="1"/>
      <c r="S1156" s="1"/>
      <c r="T1156" s="1"/>
      <c r="U1156" s="1"/>
      <c r="V1156" s="62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1"/>
      <c r="AH1156" s="1"/>
      <c r="AI1156" s="1"/>
      <c r="AJ1156" s="1"/>
      <c r="AK1156" s="1"/>
      <c r="AL1156" s="1"/>
      <c r="AM1156" s="1"/>
      <c r="AN1156" s="1"/>
      <c r="AO1156" s="1"/>
      <c r="AP1156" s="1"/>
      <c r="AQ1156" s="1"/>
      <c r="AR1156" s="1"/>
      <c r="AS1156" s="1"/>
      <c r="AT1156" s="1"/>
      <c r="AU1156" s="1"/>
      <c r="AV1156" s="1"/>
      <c r="AW1156" s="1"/>
      <c r="AX1156" s="1"/>
      <c r="AY1156" s="1"/>
      <c r="AZ1156" s="1"/>
      <c r="BA1156" s="1"/>
      <c r="BB1156" s="1"/>
      <c r="BC1156" s="1"/>
      <c r="BD1156" s="1"/>
      <c r="BE1156" s="1"/>
      <c r="BF1156" s="1"/>
      <c r="BG1156" s="1"/>
      <c r="BH1156" s="1"/>
      <c r="BI1156" s="1"/>
      <c r="BJ1156" s="1"/>
      <c r="BK1156" s="1"/>
      <c r="BL1156" s="1"/>
      <c r="BM1156" s="1"/>
      <c r="BN1156" s="1"/>
      <c r="BO1156" s="1"/>
    </row>
    <row r="1157" spans="5:67" x14ac:dyDescent="0.25"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55"/>
      <c r="Q1157" s="1"/>
      <c r="R1157" s="1"/>
      <c r="S1157" s="1"/>
      <c r="T1157" s="1"/>
      <c r="U1157" s="1"/>
      <c r="V1157" s="62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1"/>
      <c r="AH1157" s="1"/>
      <c r="AI1157" s="1"/>
      <c r="AJ1157" s="1"/>
      <c r="AK1157" s="1"/>
      <c r="AL1157" s="1"/>
      <c r="AM1157" s="1"/>
      <c r="AN1157" s="1"/>
      <c r="AO1157" s="1"/>
      <c r="AP1157" s="1"/>
      <c r="AQ1157" s="1"/>
      <c r="AR1157" s="1"/>
      <c r="AS1157" s="1"/>
      <c r="AT1157" s="1"/>
      <c r="AU1157" s="1"/>
      <c r="AV1157" s="1"/>
      <c r="AW1157" s="1"/>
      <c r="AX1157" s="1"/>
      <c r="AY1157" s="1"/>
      <c r="AZ1157" s="1"/>
      <c r="BA1157" s="1"/>
      <c r="BB1157" s="1"/>
      <c r="BC1157" s="1"/>
      <c r="BD1157" s="1"/>
      <c r="BE1157" s="1"/>
      <c r="BF1157" s="1"/>
      <c r="BG1157" s="1"/>
      <c r="BH1157" s="1"/>
      <c r="BI1157" s="1"/>
      <c r="BJ1157" s="1"/>
      <c r="BK1157" s="1"/>
      <c r="BL1157" s="1"/>
      <c r="BM1157" s="1"/>
      <c r="BN1157" s="1"/>
      <c r="BO1157" s="1"/>
    </row>
    <row r="1158" spans="5:67" x14ac:dyDescent="0.25"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55"/>
      <c r="Q1158" s="1"/>
      <c r="R1158" s="1"/>
      <c r="S1158" s="1"/>
      <c r="T1158" s="1"/>
      <c r="U1158" s="1"/>
      <c r="V1158" s="62"/>
      <c r="W1158" s="1"/>
      <c r="X1158" s="1"/>
      <c r="Y1158" s="1"/>
      <c r="Z1158" s="1"/>
      <c r="AA1158" s="1"/>
      <c r="AB1158" s="1"/>
      <c r="AC1158" s="1"/>
      <c r="AD1158" s="1"/>
      <c r="AE1158" s="1"/>
      <c r="AF1158" s="1"/>
      <c r="AG1158" s="1"/>
      <c r="AH1158" s="1"/>
      <c r="AI1158" s="1"/>
      <c r="AJ1158" s="1"/>
      <c r="AK1158" s="1"/>
      <c r="AL1158" s="1"/>
      <c r="AM1158" s="1"/>
      <c r="AN1158" s="1"/>
      <c r="AO1158" s="1"/>
      <c r="AP1158" s="1"/>
      <c r="AQ1158" s="1"/>
      <c r="AR1158" s="1"/>
      <c r="AS1158" s="1"/>
      <c r="AT1158" s="1"/>
      <c r="AU1158" s="1"/>
      <c r="AV1158" s="1"/>
      <c r="AW1158" s="1"/>
      <c r="AX1158" s="1"/>
      <c r="AY1158" s="1"/>
      <c r="AZ1158" s="1"/>
      <c r="BA1158" s="1"/>
      <c r="BB1158" s="1"/>
      <c r="BC1158" s="1"/>
      <c r="BD1158" s="1"/>
      <c r="BE1158" s="1"/>
      <c r="BF1158" s="1"/>
      <c r="BG1158" s="1"/>
      <c r="BH1158" s="1"/>
      <c r="BI1158" s="1"/>
      <c r="BJ1158" s="1"/>
      <c r="BK1158" s="1"/>
      <c r="BL1158" s="1"/>
      <c r="BM1158" s="1"/>
      <c r="BN1158" s="1"/>
      <c r="BO1158" s="1"/>
    </row>
    <row r="1159" spans="5:67" x14ac:dyDescent="0.25"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55"/>
      <c r="Q1159" s="1"/>
      <c r="R1159" s="1"/>
      <c r="S1159" s="1"/>
      <c r="T1159" s="1"/>
      <c r="U1159" s="1"/>
      <c r="V1159" s="62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1"/>
      <c r="AH1159" s="1"/>
      <c r="AI1159" s="1"/>
      <c r="AJ1159" s="1"/>
      <c r="AK1159" s="1"/>
      <c r="AL1159" s="1"/>
      <c r="AM1159" s="1"/>
      <c r="AN1159" s="1"/>
      <c r="AO1159" s="1"/>
      <c r="AP1159" s="1"/>
      <c r="AQ1159" s="1"/>
      <c r="AR1159" s="1"/>
      <c r="AS1159" s="1"/>
      <c r="AT1159" s="1"/>
      <c r="AU1159" s="1"/>
      <c r="AV1159" s="1"/>
      <c r="AW1159" s="1"/>
      <c r="AX1159" s="1"/>
      <c r="AY1159" s="1"/>
      <c r="AZ1159" s="1"/>
      <c r="BA1159" s="1"/>
      <c r="BB1159" s="1"/>
      <c r="BC1159" s="1"/>
      <c r="BD1159" s="1"/>
      <c r="BE1159" s="1"/>
      <c r="BF1159" s="1"/>
      <c r="BG1159" s="1"/>
      <c r="BH1159" s="1"/>
      <c r="BI1159" s="1"/>
      <c r="BJ1159" s="1"/>
      <c r="BK1159" s="1"/>
      <c r="BL1159" s="1"/>
      <c r="BM1159" s="1"/>
      <c r="BN1159" s="1"/>
      <c r="BO1159" s="1"/>
    </row>
    <row r="1160" spans="5:67" x14ac:dyDescent="0.25"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55"/>
      <c r="Q1160" s="1"/>
      <c r="R1160" s="1"/>
      <c r="S1160" s="1"/>
      <c r="T1160" s="1"/>
      <c r="U1160" s="1"/>
      <c r="V1160" s="62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1"/>
      <c r="AH1160" s="1"/>
      <c r="AI1160" s="1"/>
      <c r="AJ1160" s="1"/>
      <c r="AK1160" s="1"/>
      <c r="AL1160" s="1"/>
      <c r="AM1160" s="1"/>
      <c r="AN1160" s="1"/>
      <c r="AO1160" s="1"/>
      <c r="AP1160" s="1"/>
      <c r="AQ1160" s="1"/>
      <c r="AR1160" s="1"/>
      <c r="AS1160" s="1"/>
      <c r="AT1160" s="1"/>
      <c r="AU1160" s="1"/>
      <c r="AV1160" s="1"/>
      <c r="AW1160" s="1"/>
      <c r="AX1160" s="1"/>
      <c r="AY1160" s="1"/>
      <c r="AZ1160" s="1"/>
      <c r="BA1160" s="1"/>
      <c r="BB1160" s="1"/>
      <c r="BC1160" s="1"/>
      <c r="BD1160" s="1"/>
      <c r="BE1160" s="1"/>
      <c r="BF1160" s="1"/>
      <c r="BG1160" s="1"/>
      <c r="BH1160" s="1"/>
      <c r="BI1160" s="1"/>
      <c r="BJ1160" s="1"/>
      <c r="BK1160" s="1"/>
      <c r="BL1160" s="1"/>
      <c r="BM1160" s="1"/>
      <c r="BN1160" s="1"/>
      <c r="BO1160" s="1"/>
    </row>
    <row r="1161" spans="5:67" x14ac:dyDescent="0.25"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55"/>
      <c r="Q1161" s="1"/>
      <c r="R1161" s="1"/>
      <c r="S1161" s="1"/>
      <c r="T1161" s="1"/>
      <c r="U1161" s="1"/>
      <c r="V1161" s="62"/>
      <c r="W1161" s="1"/>
      <c r="X1161" s="1"/>
      <c r="Y1161" s="1"/>
      <c r="Z1161" s="1"/>
      <c r="AA1161" s="1"/>
      <c r="AB1161" s="1"/>
      <c r="AC1161" s="1"/>
      <c r="AD1161" s="1"/>
      <c r="AE1161" s="1"/>
      <c r="AF1161" s="1"/>
      <c r="AG1161" s="1"/>
      <c r="AH1161" s="1"/>
      <c r="AI1161" s="1"/>
      <c r="AJ1161" s="1"/>
      <c r="AK1161" s="1"/>
      <c r="AL1161" s="1"/>
      <c r="AM1161" s="1"/>
      <c r="AN1161" s="1"/>
      <c r="AO1161" s="1"/>
      <c r="AP1161" s="1"/>
      <c r="AQ1161" s="1"/>
      <c r="AR1161" s="1"/>
      <c r="AS1161" s="1"/>
      <c r="AT1161" s="1"/>
      <c r="AU1161" s="1"/>
      <c r="AV1161" s="1"/>
      <c r="AW1161" s="1"/>
      <c r="AX1161" s="1"/>
      <c r="AY1161" s="1"/>
      <c r="AZ1161" s="1"/>
      <c r="BA1161" s="1"/>
      <c r="BB1161" s="1"/>
      <c r="BC1161" s="1"/>
      <c r="BD1161" s="1"/>
      <c r="BE1161" s="1"/>
      <c r="BF1161" s="1"/>
      <c r="BG1161" s="1"/>
      <c r="BH1161" s="1"/>
      <c r="BI1161" s="1"/>
      <c r="BJ1161" s="1"/>
      <c r="BK1161" s="1"/>
      <c r="BL1161" s="1"/>
      <c r="BM1161" s="1"/>
      <c r="BN1161" s="1"/>
      <c r="BO1161" s="1"/>
    </row>
    <row r="1162" spans="5:67" x14ac:dyDescent="0.25"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55"/>
      <c r="Q1162" s="1"/>
      <c r="R1162" s="1"/>
      <c r="S1162" s="1"/>
      <c r="T1162" s="1"/>
      <c r="U1162" s="1"/>
      <c r="V1162" s="62"/>
      <c r="W1162" s="1"/>
      <c r="X1162" s="1"/>
      <c r="Y1162" s="1"/>
      <c r="Z1162" s="1"/>
      <c r="AA1162" s="1"/>
      <c r="AB1162" s="1"/>
      <c r="AC1162" s="1"/>
      <c r="AD1162" s="1"/>
      <c r="AE1162" s="1"/>
      <c r="AF1162" s="1"/>
      <c r="AG1162" s="1"/>
      <c r="AH1162" s="1"/>
      <c r="AI1162" s="1"/>
      <c r="AJ1162" s="1"/>
      <c r="AK1162" s="1"/>
      <c r="AL1162" s="1"/>
      <c r="AM1162" s="1"/>
      <c r="AN1162" s="1"/>
      <c r="AO1162" s="1"/>
      <c r="AP1162" s="1"/>
      <c r="AQ1162" s="1"/>
      <c r="AR1162" s="1"/>
      <c r="AS1162" s="1"/>
      <c r="AT1162" s="1"/>
      <c r="AU1162" s="1"/>
      <c r="AV1162" s="1"/>
      <c r="AW1162" s="1"/>
      <c r="AX1162" s="1"/>
      <c r="AY1162" s="1"/>
      <c r="AZ1162" s="1"/>
      <c r="BA1162" s="1"/>
      <c r="BB1162" s="1"/>
      <c r="BC1162" s="1"/>
      <c r="BD1162" s="1"/>
      <c r="BE1162" s="1"/>
      <c r="BF1162" s="1"/>
      <c r="BG1162" s="1"/>
      <c r="BH1162" s="1"/>
      <c r="BI1162" s="1"/>
      <c r="BJ1162" s="1"/>
      <c r="BK1162" s="1"/>
      <c r="BL1162" s="1"/>
      <c r="BM1162" s="1"/>
      <c r="BN1162" s="1"/>
      <c r="BO1162" s="1"/>
    </row>
    <row r="1163" spans="5:67" x14ac:dyDescent="0.25"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55"/>
      <c r="Q1163" s="1"/>
      <c r="R1163" s="1"/>
      <c r="S1163" s="1"/>
      <c r="T1163" s="1"/>
      <c r="U1163" s="1"/>
      <c r="V1163" s="62"/>
      <c r="W1163" s="1"/>
      <c r="X1163" s="1"/>
      <c r="Y1163" s="1"/>
      <c r="Z1163" s="1"/>
      <c r="AA1163" s="1"/>
      <c r="AB1163" s="1"/>
      <c r="AC1163" s="1"/>
      <c r="AD1163" s="1"/>
      <c r="AE1163" s="1"/>
      <c r="AF1163" s="1"/>
      <c r="AG1163" s="1"/>
      <c r="AH1163" s="1"/>
      <c r="AI1163" s="1"/>
      <c r="AJ1163" s="1"/>
      <c r="AK1163" s="1"/>
      <c r="AL1163" s="1"/>
      <c r="AM1163" s="1"/>
      <c r="AN1163" s="1"/>
      <c r="AO1163" s="1"/>
      <c r="AP1163" s="1"/>
      <c r="AQ1163" s="1"/>
      <c r="AR1163" s="1"/>
      <c r="AS1163" s="1"/>
      <c r="AT1163" s="1"/>
      <c r="AU1163" s="1"/>
      <c r="AV1163" s="1"/>
      <c r="AW1163" s="1"/>
      <c r="AX1163" s="1"/>
      <c r="AY1163" s="1"/>
      <c r="AZ1163" s="1"/>
      <c r="BA1163" s="1"/>
      <c r="BB1163" s="1"/>
      <c r="BC1163" s="1"/>
      <c r="BD1163" s="1"/>
      <c r="BE1163" s="1"/>
      <c r="BF1163" s="1"/>
      <c r="BG1163" s="1"/>
      <c r="BH1163" s="1"/>
      <c r="BI1163" s="1"/>
      <c r="BJ1163" s="1"/>
      <c r="BK1163" s="1"/>
      <c r="BL1163" s="1"/>
      <c r="BM1163" s="1"/>
      <c r="BN1163" s="1"/>
      <c r="BO1163" s="1"/>
    </row>
    <row r="1164" spans="5:67" x14ac:dyDescent="0.25"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55"/>
      <c r="Q1164" s="1"/>
      <c r="R1164" s="1"/>
      <c r="S1164" s="1"/>
      <c r="T1164" s="1"/>
      <c r="U1164" s="1"/>
      <c r="V1164" s="62"/>
      <c r="W1164" s="1"/>
      <c r="X1164" s="1"/>
      <c r="Y1164" s="1"/>
      <c r="Z1164" s="1"/>
      <c r="AA1164" s="1"/>
      <c r="AB1164" s="1"/>
      <c r="AC1164" s="1"/>
      <c r="AD1164" s="1"/>
      <c r="AE1164" s="1"/>
      <c r="AF1164" s="1"/>
      <c r="AG1164" s="1"/>
      <c r="AH1164" s="1"/>
      <c r="AI1164" s="1"/>
      <c r="AJ1164" s="1"/>
      <c r="AK1164" s="1"/>
      <c r="AL1164" s="1"/>
      <c r="AM1164" s="1"/>
      <c r="AN1164" s="1"/>
      <c r="AO1164" s="1"/>
      <c r="AP1164" s="1"/>
      <c r="AQ1164" s="1"/>
      <c r="AR1164" s="1"/>
      <c r="AS1164" s="1"/>
      <c r="AT1164" s="1"/>
      <c r="AU1164" s="1"/>
      <c r="AV1164" s="1"/>
      <c r="AW1164" s="1"/>
      <c r="AX1164" s="1"/>
      <c r="AY1164" s="1"/>
      <c r="AZ1164" s="1"/>
      <c r="BA1164" s="1"/>
      <c r="BB1164" s="1"/>
      <c r="BC1164" s="1"/>
      <c r="BD1164" s="1"/>
      <c r="BE1164" s="1"/>
      <c r="BF1164" s="1"/>
      <c r="BG1164" s="1"/>
      <c r="BH1164" s="1"/>
      <c r="BI1164" s="1"/>
      <c r="BJ1164" s="1"/>
      <c r="BK1164" s="1"/>
      <c r="BL1164" s="1"/>
      <c r="BM1164" s="1"/>
      <c r="BN1164" s="1"/>
      <c r="BO1164" s="1"/>
    </row>
    <row r="1165" spans="5:67" x14ac:dyDescent="0.25"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55"/>
      <c r="Q1165" s="1"/>
      <c r="R1165" s="1"/>
      <c r="S1165" s="1"/>
      <c r="T1165" s="1"/>
      <c r="U1165" s="1"/>
      <c r="V1165" s="62"/>
      <c r="W1165" s="1"/>
      <c r="X1165" s="1"/>
      <c r="Y1165" s="1"/>
      <c r="Z1165" s="1"/>
      <c r="AA1165" s="1"/>
      <c r="AB1165" s="1"/>
      <c r="AC1165" s="1"/>
      <c r="AD1165" s="1"/>
      <c r="AE1165" s="1"/>
      <c r="AF1165" s="1"/>
      <c r="AG1165" s="1"/>
      <c r="AH1165" s="1"/>
      <c r="AI1165" s="1"/>
      <c r="AJ1165" s="1"/>
      <c r="AK1165" s="1"/>
      <c r="AL1165" s="1"/>
      <c r="AM1165" s="1"/>
      <c r="AN1165" s="1"/>
      <c r="AO1165" s="1"/>
      <c r="AP1165" s="1"/>
      <c r="AQ1165" s="1"/>
      <c r="AR1165" s="1"/>
      <c r="AS1165" s="1"/>
      <c r="AT1165" s="1"/>
      <c r="AU1165" s="1"/>
      <c r="AV1165" s="1"/>
      <c r="AW1165" s="1"/>
      <c r="AX1165" s="1"/>
      <c r="AY1165" s="1"/>
      <c r="AZ1165" s="1"/>
      <c r="BA1165" s="1"/>
      <c r="BB1165" s="1"/>
      <c r="BC1165" s="1"/>
      <c r="BD1165" s="1"/>
      <c r="BE1165" s="1"/>
      <c r="BF1165" s="1"/>
      <c r="BG1165" s="1"/>
      <c r="BH1165" s="1"/>
      <c r="BI1165" s="1"/>
      <c r="BJ1165" s="1"/>
      <c r="BK1165" s="1"/>
      <c r="BL1165" s="1"/>
      <c r="BM1165" s="1"/>
      <c r="BN1165" s="1"/>
      <c r="BO1165" s="1"/>
    </row>
    <row r="1166" spans="5:67" x14ac:dyDescent="0.25"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55"/>
      <c r="Q1166" s="1"/>
      <c r="R1166" s="1"/>
      <c r="S1166" s="1"/>
      <c r="T1166" s="1"/>
      <c r="U1166" s="1"/>
      <c r="V1166" s="62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1"/>
      <c r="AH1166" s="1"/>
      <c r="AI1166" s="1"/>
      <c r="AJ1166" s="1"/>
      <c r="AK1166" s="1"/>
      <c r="AL1166" s="1"/>
      <c r="AM1166" s="1"/>
      <c r="AN1166" s="1"/>
      <c r="AO1166" s="1"/>
      <c r="AP1166" s="1"/>
      <c r="AQ1166" s="1"/>
      <c r="AR1166" s="1"/>
      <c r="AS1166" s="1"/>
      <c r="AT1166" s="1"/>
      <c r="AU1166" s="1"/>
      <c r="AV1166" s="1"/>
      <c r="AW1166" s="1"/>
      <c r="AX1166" s="1"/>
      <c r="AY1166" s="1"/>
      <c r="AZ1166" s="1"/>
      <c r="BA1166" s="1"/>
      <c r="BB1166" s="1"/>
      <c r="BC1166" s="1"/>
      <c r="BD1166" s="1"/>
      <c r="BE1166" s="1"/>
      <c r="BF1166" s="1"/>
      <c r="BG1166" s="1"/>
      <c r="BH1166" s="1"/>
      <c r="BI1166" s="1"/>
      <c r="BJ1166" s="1"/>
      <c r="BK1166" s="1"/>
      <c r="BL1166" s="1"/>
      <c r="BM1166" s="1"/>
      <c r="BN1166" s="1"/>
      <c r="BO1166" s="1"/>
    </row>
    <row r="1167" spans="5:67" x14ac:dyDescent="0.25"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55"/>
      <c r="Q1167" s="1"/>
      <c r="R1167" s="1"/>
      <c r="S1167" s="1"/>
      <c r="T1167" s="1"/>
      <c r="U1167" s="1"/>
      <c r="V1167" s="62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1"/>
      <c r="AH1167" s="1"/>
      <c r="AI1167" s="1"/>
      <c r="AJ1167" s="1"/>
      <c r="AK1167" s="1"/>
      <c r="AL1167" s="1"/>
      <c r="AM1167" s="1"/>
      <c r="AN1167" s="1"/>
      <c r="AO1167" s="1"/>
      <c r="AP1167" s="1"/>
      <c r="AQ1167" s="1"/>
      <c r="AR1167" s="1"/>
      <c r="AS1167" s="1"/>
      <c r="AT1167" s="1"/>
      <c r="AU1167" s="1"/>
      <c r="AV1167" s="1"/>
      <c r="AW1167" s="1"/>
      <c r="AX1167" s="1"/>
      <c r="AY1167" s="1"/>
      <c r="AZ1167" s="1"/>
      <c r="BA1167" s="1"/>
      <c r="BB1167" s="1"/>
      <c r="BC1167" s="1"/>
      <c r="BD1167" s="1"/>
      <c r="BE1167" s="1"/>
      <c r="BF1167" s="1"/>
      <c r="BG1167" s="1"/>
      <c r="BH1167" s="1"/>
      <c r="BI1167" s="1"/>
      <c r="BJ1167" s="1"/>
      <c r="BK1167" s="1"/>
      <c r="BL1167" s="1"/>
      <c r="BM1167" s="1"/>
      <c r="BN1167" s="1"/>
      <c r="BO1167" s="1"/>
    </row>
    <row r="1168" spans="5:67" x14ac:dyDescent="0.25"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55"/>
      <c r="Q1168" s="1"/>
      <c r="R1168" s="1"/>
      <c r="S1168" s="1"/>
      <c r="T1168" s="1"/>
      <c r="U1168" s="1"/>
      <c r="V1168" s="62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1"/>
      <c r="AH1168" s="1"/>
      <c r="AI1168" s="1"/>
      <c r="AJ1168" s="1"/>
      <c r="AK1168" s="1"/>
      <c r="AL1168" s="1"/>
      <c r="AM1168" s="1"/>
      <c r="AN1168" s="1"/>
      <c r="AO1168" s="1"/>
      <c r="AP1168" s="1"/>
      <c r="AQ1168" s="1"/>
      <c r="AR1168" s="1"/>
      <c r="AS1168" s="1"/>
      <c r="AT1168" s="1"/>
      <c r="AU1168" s="1"/>
      <c r="AV1168" s="1"/>
      <c r="AW1168" s="1"/>
      <c r="AX1168" s="1"/>
      <c r="AY1168" s="1"/>
      <c r="AZ1168" s="1"/>
      <c r="BA1168" s="1"/>
      <c r="BB1168" s="1"/>
      <c r="BC1168" s="1"/>
      <c r="BD1168" s="1"/>
      <c r="BE1168" s="1"/>
      <c r="BF1168" s="1"/>
      <c r="BG1168" s="1"/>
      <c r="BH1168" s="1"/>
      <c r="BI1168" s="1"/>
      <c r="BJ1168" s="1"/>
      <c r="BK1168" s="1"/>
      <c r="BL1168" s="1"/>
      <c r="BM1168" s="1"/>
      <c r="BN1168" s="1"/>
      <c r="BO1168" s="1"/>
    </row>
    <row r="1169" spans="5:67" x14ac:dyDescent="0.25"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55"/>
      <c r="Q1169" s="1"/>
      <c r="R1169" s="1"/>
      <c r="S1169" s="1"/>
      <c r="T1169" s="1"/>
      <c r="U1169" s="1"/>
      <c r="V1169" s="62"/>
      <c r="W1169" s="1"/>
      <c r="X1169" s="1"/>
      <c r="Y1169" s="1"/>
      <c r="Z1169" s="1"/>
      <c r="AA1169" s="1"/>
      <c r="AB1169" s="1"/>
      <c r="AC1169" s="1"/>
      <c r="AD1169" s="1"/>
      <c r="AE1169" s="1"/>
      <c r="AF1169" s="1"/>
      <c r="AG1169" s="1"/>
      <c r="AH1169" s="1"/>
      <c r="AI1169" s="1"/>
      <c r="AJ1169" s="1"/>
      <c r="AK1169" s="1"/>
      <c r="AL1169" s="1"/>
      <c r="AM1169" s="1"/>
      <c r="AN1169" s="1"/>
      <c r="AO1169" s="1"/>
      <c r="AP1169" s="1"/>
      <c r="AQ1169" s="1"/>
      <c r="AR1169" s="1"/>
      <c r="AS1169" s="1"/>
      <c r="AT1169" s="1"/>
      <c r="AU1169" s="1"/>
      <c r="AV1169" s="1"/>
      <c r="AW1169" s="1"/>
      <c r="AX1169" s="1"/>
      <c r="AY1169" s="1"/>
      <c r="AZ1169" s="1"/>
      <c r="BA1169" s="1"/>
      <c r="BB1169" s="1"/>
      <c r="BC1169" s="1"/>
      <c r="BD1169" s="1"/>
      <c r="BE1169" s="1"/>
      <c r="BF1169" s="1"/>
      <c r="BG1169" s="1"/>
      <c r="BH1169" s="1"/>
      <c r="BI1169" s="1"/>
      <c r="BJ1169" s="1"/>
      <c r="BK1169" s="1"/>
      <c r="BL1169" s="1"/>
      <c r="BM1169" s="1"/>
      <c r="BN1169" s="1"/>
      <c r="BO1169" s="1"/>
    </row>
    <row r="1170" spans="5:67" x14ac:dyDescent="0.25"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55"/>
      <c r="Q1170" s="1"/>
      <c r="R1170" s="1"/>
      <c r="S1170" s="1"/>
      <c r="T1170" s="1"/>
      <c r="U1170" s="1"/>
      <c r="V1170" s="62"/>
      <c r="W1170" s="1"/>
      <c r="X1170" s="1"/>
      <c r="Y1170" s="1"/>
      <c r="Z1170" s="1"/>
      <c r="AA1170" s="1"/>
      <c r="AB1170" s="1"/>
      <c r="AC1170" s="1"/>
      <c r="AD1170" s="1"/>
      <c r="AE1170" s="1"/>
      <c r="AF1170" s="1"/>
      <c r="AG1170" s="1"/>
      <c r="AH1170" s="1"/>
      <c r="AI1170" s="1"/>
      <c r="AJ1170" s="1"/>
      <c r="AK1170" s="1"/>
      <c r="AL1170" s="1"/>
      <c r="AM1170" s="1"/>
      <c r="AN1170" s="1"/>
      <c r="AO1170" s="1"/>
      <c r="AP1170" s="1"/>
      <c r="AQ1170" s="1"/>
      <c r="AR1170" s="1"/>
      <c r="AS1170" s="1"/>
      <c r="AT1170" s="1"/>
      <c r="AU1170" s="1"/>
      <c r="AV1170" s="1"/>
      <c r="AW1170" s="1"/>
      <c r="AX1170" s="1"/>
      <c r="AY1170" s="1"/>
      <c r="AZ1170" s="1"/>
      <c r="BA1170" s="1"/>
      <c r="BB1170" s="1"/>
      <c r="BC1170" s="1"/>
      <c r="BD1170" s="1"/>
      <c r="BE1170" s="1"/>
      <c r="BF1170" s="1"/>
      <c r="BG1170" s="1"/>
      <c r="BH1170" s="1"/>
      <c r="BI1170" s="1"/>
      <c r="BJ1170" s="1"/>
      <c r="BK1170" s="1"/>
      <c r="BL1170" s="1"/>
      <c r="BM1170" s="1"/>
      <c r="BN1170" s="1"/>
      <c r="BO1170" s="1"/>
    </row>
    <row r="1171" spans="5:67" x14ac:dyDescent="0.25"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55"/>
      <c r="Q1171" s="1"/>
      <c r="R1171" s="1"/>
      <c r="S1171" s="1"/>
      <c r="T1171" s="1"/>
      <c r="U1171" s="1"/>
      <c r="V1171" s="62"/>
      <c r="W1171" s="1"/>
      <c r="X1171" s="1"/>
      <c r="Y1171" s="1"/>
      <c r="Z1171" s="1"/>
      <c r="AA1171" s="1"/>
      <c r="AB1171" s="1"/>
      <c r="AC1171" s="1"/>
      <c r="AD1171" s="1"/>
      <c r="AE1171" s="1"/>
      <c r="AF1171" s="1"/>
      <c r="AG1171" s="1"/>
      <c r="AH1171" s="1"/>
      <c r="AI1171" s="1"/>
      <c r="AJ1171" s="1"/>
      <c r="AK1171" s="1"/>
      <c r="AL1171" s="1"/>
      <c r="AM1171" s="1"/>
      <c r="AN1171" s="1"/>
      <c r="AO1171" s="1"/>
      <c r="AP1171" s="1"/>
      <c r="AQ1171" s="1"/>
      <c r="AR1171" s="1"/>
      <c r="AS1171" s="1"/>
      <c r="AT1171" s="1"/>
      <c r="AU1171" s="1"/>
      <c r="AV1171" s="1"/>
      <c r="AW1171" s="1"/>
      <c r="AX1171" s="1"/>
      <c r="AY1171" s="1"/>
      <c r="AZ1171" s="1"/>
      <c r="BA1171" s="1"/>
      <c r="BB1171" s="1"/>
      <c r="BC1171" s="1"/>
      <c r="BD1171" s="1"/>
      <c r="BE1171" s="1"/>
      <c r="BF1171" s="1"/>
      <c r="BG1171" s="1"/>
      <c r="BH1171" s="1"/>
      <c r="BI1171" s="1"/>
      <c r="BJ1171" s="1"/>
      <c r="BK1171" s="1"/>
      <c r="BL1171" s="1"/>
      <c r="BM1171" s="1"/>
      <c r="BN1171" s="1"/>
      <c r="BO1171" s="1"/>
    </row>
    <row r="1172" spans="5:67" x14ac:dyDescent="0.25"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55"/>
      <c r="Q1172" s="1"/>
      <c r="R1172" s="1"/>
      <c r="S1172" s="1"/>
      <c r="T1172" s="1"/>
      <c r="U1172" s="1"/>
      <c r="V1172" s="62"/>
      <c r="W1172" s="1"/>
      <c r="X1172" s="1"/>
      <c r="Y1172" s="1"/>
      <c r="Z1172" s="1"/>
      <c r="AA1172" s="1"/>
      <c r="AB1172" s="1"/>
      <c r="AC1172" s="1"/>
      <c r="AD1172" s="1"/>
      <c r="AE1172" s="1"/>
      <c r="AF1172" s="1"/>
      <c r="AG1172" s="1"/>
      <c r="AH1172" s="1"/>
      <c r="AI1172" s="1"/>
      <c r="AJ1172" s="1"/>
      <c r="AK1172" s="1"/>
      <c r="AL1172" s="1"/>
      <c r="AM1172" s="1"/>
      <c r="AN1172" s="1"/>
      <c r="AO1172" s="1"/>
      <c r="AP1172" s="1"/>
      <c r="AQ1172" s="1"/>
      <c r="AR1172" s="1"/>
      <c r="AS1172" s="1"/>
      <c r="AT1172" s="1"/>
      <c r="AU1172" s="1"/>
      <c r="AV1172" s="1"/>
      <c r="AW1172" s="1"/>
      <c r="AX1172" s="1"/>
      <c r="AY1172" s="1"/>
      <c r="AZ1172" s="1"/>
      <c r="BA1172" s="1"/>
      <c r="BB1172" s="1"/>
      <c r="BC1172" s="1"/>
      <c r="BD1172" s="1"/>
      <c r="BE1172" s="1"/>
      <c r="BF1172" s="1"/>
      <c r="BG1172" s="1"/>
      <c r="BH1172" s="1"/>
      <c r="BI1172" s="1"/>
      <c r="BJ1172" s="1"/>
      <c r="BK1172" s="1"/>
      <c r="BL1172" s="1"/>
      <c r="BM1172" s="1"/>
      <c r="BN1172" s="1"/>
      <c r="BO1172" s="1"/>
    </row>
    <row r="1173" spans="5:67" x14ac:dyDescent="0.25"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55"/>
      <c r="Q1173" s="1"/>
      <c r="R1173" s="1"/>
      <c r="S1173" s="1"/>
      <c r="T1173" s="1"/>
      <c r="U1173" s="1"/>
      <c r="V1173" s="62"/>
      <c r="W1173" s="1"/>
      <c r="X1173" s="1"/>
      <c r="Y1173" s="1"/>
      <c r="Z1173" s="1"/>
      <c r="AA1173" s="1"/>
      <c r="AB1173" s="1"/>
      <c r="AC1173" s="1"/>
      <c r="AD1173" s="1"/>
      <c r="AE1173" s="1"/>
      <c r="AF1173" s="1"/>
      <c r="AG1173" s="1"/>
      <c r="AH1173" s="1"/>
      <c r="AI1173" s="1"/>
      <c r="AJ1173" s="1"/>
      <c r="AK1173" s="1"/>
      <c r="AL1173" s="1"/>
      <c r="AM1173" s="1"/>
      <c r="AN1173" s="1"/>
      <c r="AO1173" s="1"/>
      <c r="AP1173" s="1"/>
      <c r="AQ1173" s="1"/>
      <c r="AR1173" s="1"/>
      <c r="AS1173" s="1"/>
      <c r="AT1173" s="1"/>
      <c r="AU1173" s="1"/>
      <c r="AV1173" s="1"/>
      <c r="AW1173" s="1"/>
      <c r="AX1173" s="1"/>
      <c r="AY1173" s="1"/>
      <c r="AZ1173" s="1"/>
      <c r="BA1173" s="1"/>
      <c r="BB1173" s="1"/>
      <c r="BC1173" s="1"/>
      <c r="BD1173" s="1"/>
      <c r="BE1173" s="1"/>
      <c r="BF1173" s="1"/>
      <c r="BG1173" s="1"/>
      <c r="BH1173" s="1"/>
      <c r="BI1173" s="1"/>
      <c r="BJ1173" s="1"/>
      <c r="BK1173" s="1"/>
      <c r="BL1173" s="1"/>
      <c r="BM1173" s="1"/>
      <c r="BN1173" s="1"/>
      <c r="BO1173" s="1"/>
    </row>
    <row r="1174" spans="5:67" x14ac:dyDescent="0.25"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55"/>
      <c r="Q1174" s="1"/>
      <c r="R1174" s="1"/>
      <c r="S1174" s="1"/>
      <c r="T1174" s="1"/>
      <c r="U1174" s="1"/>
      <c r="V1174" s="62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  <c r="AJ1174" s="1"/>
      <c r="AK1174" s="1"/>
      <c r="AL1174" s="1"/>
      <c r="AM1174" s="1"/>
      <c r="AN1174" s="1"/>
      <c r="AO1174" s="1"/>
      <c r="AP1174" s="1"/>
      <c r="AQ1174" s="1"/>
      <c r="AR1174" s="1"/>
      <c r="AS1174" s="1"/>
      <c r="AT1174" s="1"/>
      <c r="AU1174" s="1"/>
      <c r="AV1174" s="1"/>
      <c r="AW1174" s="1"/>
      <c r="AX1174" s="1"/>
      <c r="AY1174" s="1"/>
      <c r="AZ1174" s="1"/>
      <c r="BA1174" s="1"/>
      <c r="BB1174" s="1"/>
      <c r="BC1174" s="1"/>
      <c r="BD1174" s="1"/>
      <c r="BE1174" s="1"/>
      <c r="BF1174" s="1"/>
      <c r="BG1174" s="1"/>
      <c r="BH1174" s="1"/>
      <c r="BI1174" s="1"/>
      <c r="BJ1174" s="1"/>
      <c r="BK1174" s="1"/>
      <c r="BL1174" s="1"/>
      <c r="BM1174" s="1"/>
      <c r="BN1174" s="1"/>
      <c r="BO1174" s="1"/>
    </row>
    <row r="1175" spans="5:67" x14ac:dyDescent="0.25"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55"/>
      <c r="Q1175" s="1"/>
      <c r="R1175" s="1"/>
      <c r="S1175" s="1"/>
      <c r="T1175" s="1"/>
      <c r="U1175" s="1"/>
      <c r="V1175" s="62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  <c r="AL1175" s="1"/>
      <c r="AM1175" s="1"/>
      <c r="AN1175" s="1"/>
      <c r="AO1175" s="1"/>
      <c r="AP1175" s="1"/>
      <c r="AQ1175" s="1"/>
      <c r="AR1175" s="1"/>
      <c r="AS1175" s="1"/>
      <c r="AT1175" s="1"/>
      <c r="AU1175" s="1"/>
      <c r="AV1175" s="1"/>
      <c r="AW1175" s="1"/>
      <c r="AX1175" s="1"/>
      <c r="AY1175" s="1"/>
      <c r="AZ1175" s="1"/>
      <c r="BA1175" s="1"/>
      <c r="BB1175" s="1"/>
      <c r="BC1175" s="1"/>
      <c r="BD1175" s="1"/>
      <c r="BE1175" s="1"/>
      <c r="BF1175" s="1"/>
      <c r="BG1175" s="1"/>
      <c r="BH1175" s="1"/>
      <c r="BI1175" s="1"/>
      <c r="BJ1175" s="1"/>
      <c r="BK1175" s="1"/>
      <c r="BL1175" s="1"/>
      <c r="BM1175" s="1"/>
      <c r="BN1175" s="1"/>
      <c r="BO1175" s="1"/>
    </row>
    <row r="1176" spans="5:67" x14ac:dyDescent="0.25"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55"/>
      <c r="Q1176" s="1"/>
      <c r="R1176" s="1"/>
      <c r="S1176" s="1"/>
      <c r="T1176" s="1"/>
      <c r="U1176" s="1"/>
      <c r="V1176" s="62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  <c r="AL1176" s="1"/>
      <c r="AM1176" s="1"/>
      <c r="AN1176" s="1"/>
      <c r="AO1176" s="1"/>
      <c r="AP1176" s="1"/>
      <c r="AQ1176" s="1"/>
      <c r="AR1176" s="1"/>
      <c r="AS1176" s="1"/>
      <c r="AT1176" s="1"/>
      <c r="AU1176" s="1"/>
      <c r="AV1176" s="1"/>
      <c r="AW1176" s="1"/>
      <c r="AX1176" s="1"/>
      <c r="AY1176" s="1"/>
      <c r="AZ1176" s="1"/>
      <c r="BA1176" s="1"/>
      <c r="BB1176" s="1"/>
      <c r="BC1176" s="1"/>
      <c r="BD1176" s="1"/>
      <c r="BE1176" s="1"/>
      <c r="BF1176" s="1"/>
      <c r="BG1176" s="1"/>
      <c r="BH1176" s="1"/>
      <c r="BI1176" s="1"/>
      <c r="BJ1176" s="1"/>
      <c r="BK1176" s="1"/>
      <c r="BL1176" s="1"/>
      <c r="BM1176" s="1"/>
      <c r="BN1176" s="1"/>
      <c r="BO1176" s="1"/>
    </row>
    <row r="1177" spans="5:67" x14ac:dyDescent="0.25"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55"/>
      <c r="Q1177" s="1"/>
      <c r="R1177" s="1"/>
      <c r="S1177" s="1"/>
      <c r="T1177" s="1"/>
      <c r="U1177" s="1"/>
      <c r="V1177" s="62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  <c r="AJ1177" s="1"/>
      <c r="AK1177" s="1"/>
      <c r="AL1177" s="1"/>
      <c r="AM1177" s="1"/>
      <c r="AN1177" s="1"/>
      <c r="AO1177" s="1"/>
      <c r="AP1177" s="1"/>
      <c r="AQ1177" s="1"/>
      <c r="AR1177" s="1"/>
      <c r="AS1177" s="1"/>
      <c r="AT1177" s="1"/>
      <c r="AU1177" s="1"/>
      <c r="AV1177" s="1"/>
      <c r="AW1177" s="1"/>
      <c r="AX1177" s="1"/>
      <c r="AY1177" s="1"/>
      <c r="AZ1177" s="1"/>
      <c r="BA1177" s="1"/>
      <c r="BB1177" s="1"/>
      <c r="BC1177" s="1"/>
      <c r="BD1177" s="1"/>
      <c r="BE1177" s="1"/>
      <c r="BF1177" s="1"/>
      <c r="BG1177" s="1"/>
      <c r="BH1177" s="1"/>
      <c r="BI1177" s="1"/>
      <c r="BJ1177" s="1"/>
      <c r="BK1177" s="1"/>
      <c r="BL1177" s="1"/>
      <c r="BM1177" s="1"/>
      <c r="BN1177" s="1"/>
      <c r="BO1177" s="1"/>
    </row>
    <row r="1178" spans="5:67" x14ac:dyDescent="0.25"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55"/>
      <c r="Q1178" s="1"/>
      <c r="R1178" s="1"/>
      <c r="S1178" s="1"/>
      <c r="T1178" s="1"/>
      <c r="U1178" s="1"/>
      <c r="V1178" s="62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  <c r="AJ1178" s="1"/>
      <c r="AK1178" s="1"/>
      <c r="AL1178" s="1"/>
      <c r="AM1178" s="1"/>
      <c r="AN1178" s="1"/>
      <c r="AO1178" s="1"/>
      <c r="AP1178" s="1"/>
      <c r="AQ1178" s="1"/>
      <c r="AR1178" s="1"/>
      <c r="AS1178" s="1"/>
      <c r="AT1178" s="1"/>
      <c r="AU1178" s="1"/>
      <c r="AV1178" s="1"/>
      <c r="AW1178" s="1"/>
      <c r="AX1178" s="1"/>
      <c r="AY1178" s="1"/>
      <c r="AZ1178" s="1"/>
      <c r="BA1178" s="1"/>
      <c r="BB1178" s="1"/>
      <c r="BC1178" s="1"/>
      <c r="BD1178" s="1"/>
      <c r="BE1178" s="1"/>
      <c r="BF1178" s="1"/>
      <c r="BG1178" s="1"/>
      <c r="BH1178" s="1"/>
      <c r="BI1178" s="1"/>
      <c r="BJ1178" s="1"/>
      <c r="BK1178" s="1"/>
      <c r="BL1178" s="1"/>
      <c r="BM1178" s="1"/>
      <c r="BN1178" s="1"/>
      <c r="BO1178" s="1"/>
    </row>
    <row r="1179" spans="5:67" x14ac:dyDescent="0.25"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55"/>
      <c r="Q1179" s="1"/>
      <c r="R1179" s="1"/>
      <c r="S1179" s="1"/>
      <c r="T1179" s="1"/>
      <c r="U1179" s="1"/>
      <c r="V1179" s="62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  <c r="AJ1179" s="1"/>
      <c r="AK1179" s="1"/>
      <c r="AL1179" s="1"/>
      <c r="AM1179" s="1"/>
      <c r="AN1179" s="1"/>
      <c r="AO1179" s="1"/>
      <c r="AP1179" s="1"/>
      <c r="AQ1179" s="1"/>
      <c r="AR1179" s="1"/>
      <c r="AS1179" s="1"/>
      <c r="AT1179" s="1"/>
      <c r="AU1179" s="1"/>
      <c r="AV1179" s="1"/>
      <c r="AW1179" s="1"/>
      <c r="AX1179" s="1"/>
      <c r="AY1179" s="1"/>
      <c r="AZ1179" s="1"/>
      <c r="BA1179" s="1"/>
      <c r="BB1179" s="1"/>
      <c r="BC1179" s="1"/>
      <c r="BD1179" s="1"/>
      <c r="BE1179" s="1"/>
      <c r="BF1179" s="1"/>
      <c r="BG1179" s="1"/>
      <c r="BH1179" s="1"/>
      <c r="BI1179" s="1"/>
      <c r="BJ1179" s="1"/>
      <c r="BK1179" s="1"/>
      <c r="BL1179" s="1"/>
      <c r="BM1179" s="1"/>
      <c r="BN1179" s="1"/>
      <c r="BO1179" s="1"/>
    </row>
    <row r="1180" spans="5:67" x14ac:dyDescent="0.25"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55"/>
      <c r="Q1180" s="1"/>
      <c r="R1180" s="1"/>
      <c r="S1180" s="1"/>
      <c r="T1180" s="1"/>
      <c r="U1180" s="1"/>
      <c r="V1180" s="62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  <c r="AJ1180" s="1"/>
      <c r="AK1180" s="1"/>
      <c r="AL1180" s="1"/>
      <c r="AM1180" s="1"/>
      <c r="AN1180" s="1"/>
      <c r="AO1180" s="1"/>
      <c r="AP1180" s="1"/>
      <c r="AQ1180" s="1"/>
      <c r="AR1180" s="1"/>
      <c r="AS1180" s="1"/>
      <c r="AT1180" s="1"/>
      <c r="AU1180" s="1"/>
      <c r="AV1180" s="1"/>
      <c r="AW1180" s="1"/>
      <c r="AX1180" s="1"/>
      <c r="AY1180" s="1"/>
      <c r="AZ1180" s="1"/>
      <c r="BA1180" s="1"/>
      <c r="BB1180" s="1"/>
      <c r="BC1180" s="1"/>
      <c r="BD1180" s="1"/>
      <c r="BE1180" s="1"/>
      <c r="BF1180" s="1"/>
      <c r="BG1180" s="1"/>
      <c r="BH1180" s="1"/>
      <c r="BI1180" s="1"/>
      <c r="BJ1180" s="1"/>
      <c r="BK1180" s="1"/>
      <c r="BL1180" s="1"/>
      <c r="BM1180" s="1"/>
      <c r="BN1180" s="1"/>
      <c r="BO1180" s="1"/>
    </row>
    <row r="1181" spans="5:67" x14ac:dyDescent="0.25"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62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  <c r="AJ1181" s="1"/>
      <c r="AK1181" s="1"/>
      <c r="AL1181" s="1"/>
      <c r="AM1181" s="1"/>
      <c r="AN1181" s="1"/>
      <c r="AO1181" s="1"/>
      <c r="AP1181" s="1"/>
      <c r="AQ1181" s="1"/>
      <c r="AR1181" s="1"/>
      <c r="AS1181" s="1"/>
      <c r="AT1181" s="1"/>
      <c r="AU1181" s="1"/>
      <c r="AV1181" s="1"/>
      <c r="AW1181" s="1"/>
      <c r="AX1181" s="1"/>
      <c r="AY1181" s="1"/>
      <c r="AZ1181" s="1"/>
      <c r="BA1181" s="1"/>
      <c r="BB1181" s="1"/>
      <c r="BC1181" s="1"/>
      <c r="BD1181" s="1"/>
      <c r="BE1181" s="1"/>
      <c r="BF1181" s="1"/>
      <c r="BG1181" s="1"/>
      <c r="BH1181" s="1"/>
      <c r="BI1181" s="1"/>
      <c r="BJ1181" s="1"/>
      <c r="BK1181" s="1"/>
      <c r="BL1181" s="1"/>
      <c r="BM1181" s="1"/>
      <c r="BN1181" s="1"/>
      <c r="BO1181" s="1"/>
    </row>
    <row r="1182" spans="5:67" x14ac:dyDescent="0.25"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62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  <c r="AJ1182" s="1"/>
      <c r="AK1182" s="1"/>
      <c r="AL1182" s="1"/>
      <c r="AM1182" s="1"/>
      <c r="AN1182" s="1"/>
      <c r="AO1182" s="1"/>
      <c r="AP1182" s="1"/>
      <c r="AQ1182" s="1"/>
      <c r="AR1182" s="1"/>
      <c r="AS1182" s="1"/>
      <c r="AT1182" s="1"/>
      <c r="AU1182" s="1"/>
      <c r="AV1182" s="1"/>
      <c r="AW1182" s="1"/>
      <c r="AX1182" s="1"/>
      <c r="AY1182" s="1"/>
      <c r="AZ1182" s="1"/>
      <c r="BA1182" s="1"/>
      <c r="BB1182" s="1"/>
      <c r="BC1182" s="1"/>
      <c r="BD1182" s="1"/>
      <c r="BE1182" s="1"/>
      <c r="BF1182" s="1"/>
      <c r="BG1182" s="1"/>
      <c r="BH1182" s="1"/>
      <c r="BI1182" s="1"/>
      <c r="BJ1182" s="1"/>
      <c r="BK1182" s="1"/>
      <c r="BL1182" s="1"/>
      <c r="BM1182" s="1"/>
      <c r="BN1182" s="1"/>
      <c r="BO1182" s="1"/>
    </row>
    <row r="1183" spans="5:67" x14ac:dyDescent="0.25"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62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  <c r="AJ1183" s="1"/>
      <c r="AK1183" s="1"/>
      <c r="AL1183" s="1"/>
      <c r="AM1183" s="1"/>
      <c r="AN1183" s="1"/>
      <c r="AO1183" s="1"/>
      <c r="AP1183" s="1"/>
      <c r="AQ1183" s="1"/>
      <c r="AR1183" s="1"/>
      <c r="AS1183" s="1"/>
      <c r="AT1183" s="1"/>
      <c r="AU1183" s="1"/>
      <c r="AV1183" s="1"/>
      <c r="AW1183" s="1"/>
      <c r="AX1183" s="1"/>
      <c r="AY1183" s="1"/>
      <c r="AZ1183" s="1"/>
      <c r="BA1183" s="1"/>
      <c r="BB1183" s="1"/>
      <c r="BC1183" s="1"/>
      <c r="BD1183" s="1"/>
      <c r="BE1183" s="1"/>
      <c r="BF1183" s="1"/>
      <c r="BG1183" s="1"/>
      <c r="BH1183" s="1"/>
      <c r="BI1183" s="1"/>
      <c r="BJ1183" s="1"/>
      <c r="BK1183" s="1"/>
      <c r="BL1183" s="1"/>
      <c r="BM1183" s="1"/>
      <c r="BN1183" s="1"/>
      <c r="BO1183" s="1"/>
    </row>
    <row r="1184" spans="5:67" x14ac:dyDescent="0.25"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62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  <c r="AJ1184" s="1"/>
      <c r="AK1184" s="1"/>
      <c r="AL1184" s="1"/>
      <c r="AM1184" s="1"/>
      <c r="AN1184" s="1"/>
      <c r="AO1184" s="1"/>
      <c r="AP1184" s="1"/>
      <c r="AQ1184" s="1"/>
      <c r="AR1184" s="1"/>
      <c r="AS1184" s="1"/>
      <c r="AT1184" s="1"/>
      <c r="AU1184" s="1"/>
      <c r="AV1184" s="1"/>
      <c r="AW1184" s="1"/>
      <c r="AX1184" s="1"/>
      <c r="AY1184" s="1"/>
      <c r="AZ1184" s="1"/>
      <c r="BA1184" s="1"/>
      <c r="BB1184" s="1"/>
      <c r="BC1184" s="1"/>
      <c r="BD1184" s="1"/>
      <c r="BE1184" s="1"/>
      <c r="BF1184" s="1"/>
      <c r="BG1184" s="1"/>
      <c r="BH1184" s="1"/>
      <c r="BI1184" s="1"/>
      <c r="BJ1184" s="1"/>
      <c r="BK1184" s="1"/>
      <c r="BL1184" s="1"/>
      <c r="BM1184" s="1"/>
      <c r="BN1184" s="1"/>
      <c r="BO1184" s="1"/>
    </row>
    <row r="1185" spans="5:67" x14ac:dyDescent="0.25"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62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  <c r="AJ1185" s="1"/>
      <c r="AK1185" s="1"/>
      <c r="AL1185" s="1"/>
      <c r="AM1185" s="1"/>
      <c r="AN1185" s="1"/>
      <c r="AO1185" s="1"/>
      <c r="AP1185" s="1"/>
      <c r="AQ1185" s="1"/>
      <c r="AR1185" s="1"/>
      <c r="AS1185" s="1"/>
      <c r="AT1185" s="1"/>
      <c r="AU1185" s="1"/>
      <c r="AV1185" s="1"/>
      <c r="AW1185" s="1"/>
      <c r="AX1185" s="1"/>
      <c r="AY1185" s="1"/>
      <c r="AZ1185" s="1"/>
      <c r="BA1185" s="1"/>
      <c r="BB1185" s="1"/>
      <c r="BC1185" s="1"/>
      <c r="BD1185" s="1"/>
      <c r="BE1185" s="1"/>
      <c r="BF1185" s="1"/>
      <c r="BG1185" s="1"/>
      <c r="BH1185" s="1"/>
      <c r="BI1185" s="1"/>
      <c r="BJ1185" s="1"/>
      <c r="BK1185" s="1"/>
      <c r="BL1185" s="1"/>
      <c r="BM1185" s="1"/>
      <c r="BN1185" s="1"/>
      <c r="BO1185" s="1"/>
    </row>
    <row r="1186" spans="5:67" x14ac:dyDescent="0.25"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62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  <c r="AJ1186" s="1"/>
      <c r="AK1186" s="1"/>
      <c r="AL1186" s="1"/>
      <c r="AM1186" s="1"/>
      <c r="AN1186" s="1"/>
      <c r="AO1186" s="1"/>
      <c r="AP1186" s="1"/>
      <c r="AQ1186" s="1"/>
      <c r="AR1186" s="1"/>
      <c r="AS1186" s="1"/>
      <c r="AT1186" s="1"/>
      <c r="AU1186" s="1"/>
      <c r="AV1186" s="1"/>
      <c r="AW1186" s="1"/>
      <c r="AX1186" s="1"/>
      <c r="AY1186" s="1"/>
      <c r="AZ1186" s="1"/>
      <c r="BA1186" s="1"/>
      <c r="BB1186" s="1"/>
      <c r="BC1186" s="1"/>
      <c r="BD1186" s="1"/>
      <c r="BE1186" s="1"/>
      <c r="BF1186" s="1"/>
      <c r="BG1186" s="1"/>
      <c r="BH1186" s="1"/>
      <c r="BI1186" s="1"/>
      <c r="BJ1186" s="1"/>
      <c r="BK1186" s="1"/>
      <c r="BL1186" s="1"/>
      <c r="BM1186" s="1"/>
      <c r="BN1186" s="1"/>
      <c r="BO1186" s="1"/>
    </row>
    <row r="1187" spans="5:67" x14ac:dyDescent="0.25"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62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  <c r="AJ1187" s="1"/>
      <c r="AK1187" s="1"/>
      <c r="AL1187" s="1"/>
      <c r="AM1187" s="1"/>
      <c r="AN1187" s="1"/>
      <c r="AO1187" s="1"/>
      <c r="AP1187" s="1"/>
      <c r="AQ1187" s="1"/>
      <c r="AR1187" s="1"/>
      <c r="AS1187" s="1"/>
      <c r="AT1187" s="1"/>
      <c r="AU1187" s="1"/>
      <c r="AV1187" s="1"/>
      <c r="AW1187" s="1"/>
      <c r="AX1187" s="1"/>
      <c r="AY1187" s="1"/>
      <c r="AZ1187" s="1"/>
      <c r="BA1187" s="1"/>
      <c r="BB1187" s="1"/>
      <c r="BC1187" s="1"/>
      <c r="BD1187" s="1"/>
      <c r="BE1187" s="1"/>
      <c r="BF1187" s="1"/>
      <c r="BG1187" s="1"/>
      <c r="BH1187" s="1"/>
      <c r="BI1187" s="1"/>
      <c r="BJ1187" s="1"/>
      <c r="BK1187" s="1"/>
      <c r="BL1187" s="1"/>
      <c r="BM1187" s="1"/>
      <c r="BN1187" s="1"/>
      <c r="BO1187" s="1"/>
    </row>
    <row r="1188" spans="5:67" x14ac:dyDescent="0.25"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62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  <c r="AJ1188" s="1"/>
      <c r="AK1188" s="1"/>
      <c r="AL1188" s="1"/>
      <c r="AM1188" s="1"/>
      <c r="AN1188" s="1"/>
      <c r="AO1188" s="1"/>
      <c r="AP1188" s="1"/>
      <c r="AQ1188" s="1"/>
      <c r="AR1188" s="1"/>
      <c r="AS1188" s="1"/>
      <c r="AT1188" s="1"/>
      <c r="AU1188" s="1"/>
      <c r="AV1188" s="1"/>
      <c r="AW1188" s="1"/>
      <c r="AX1188" s="1"/>
      <c r="AY1188" s="1"/>
      <c r="AZ1188" s="1"/>
      <c r="BA1188" s="1"/>
      <c r="BB1188" s="1"/>
      <c r="BC1188" s="1"/>
      <c r="BD1188" s="1"/>
      <c r="BE1188" s="1"/>
      <c r="BF1188" s="1"/>
      <c r="BG1188" s="1"/>
      <c r="BH1188" s="1"/>
      <c r="BI1188" s="1"/>
      <c r="BJ1188" s="1"/>
      <c r="BK1188" s="1"/>
      <c r="BL1188" s="1"/>
      <c r="BM1188" s="1"/>
      <c r="BN1188" s="1"/>
      <c r="BO1188" s="1"/>
    </row>
    <row r="1189" spans="5:67" x14ac:dyDescent="0.25"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62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  <c r="AJ1189" s="1"/>
      <c r="AK1189" s="1"/>
      <c r="AL1189" s="1"/>
      <c r="AM1189" s="1"/>
      <c r="AN1189" s="1"/>
      <c r="AO1189" s="1"/>
      <c r="AP1189" s="1"/>
      <c r="AQ1189" s="1"/>
      <c r="AR1189" s="1"/>
      <c r="AS1189" s="1"/>
      <c r="AT1189" s="1"/>
      <c r="AU1189" s="1"/>
      <c r="AV1189" s="1"/>
      <c r="AW1189" s="1"/>
      <c r="AX1189" s="1"/>
      <c r="AY1189" s="1"/>
      <c r="AZ1189" s="1"/>
      <c r="BA1189" s="1"/>
      <c r="BB1189" s="1"/>
      <c r="BC1189" s="1"/>
      <c r="BD1189" s="1"/>
      <c r="BE1189" s="1"/>
      <c r="BF1189" s="1"/>
      <c r="BG1189" s="1"/>
      <c r="BH1189" s="1"/>
      <c r="BI1189" s="1"/>
      <c r="BJ1189" s="1"/>
      <c r="BK1189" s="1"/>
      <c r="BL1189" s="1"/>
      <c r="BM1189" s="1"/>
      <c r="BN1189" s="1"/>
      <c r="BO1189" s="1"/>
    </row>
    <row r="1190" spans="5:67" x14ac:dyDescent="0.25"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62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  <c r="AJ1190" s="1"/>
      <c r="AK1190" s="1"/>
      <c r="AL1190" s="1"/>
      <c r="AM1190" s="1"/>
      <c r="AN1190" s="1"/>
      <c r="AO1190" s="1"/>
      <c r="AP1190" s="1"/>
      <c r="AQ1190" s="1"/>
      <c r="AR1190" s="1"/>
      <c r="AS1190" s="1"/>
      <c r="AT1190" s="1"/>
      <c r="AU1190" s="1"/>
      <c r="AV1190" s="1"/>
      <c r="AW1190" s="1"/>
      <c r="AX1190" s="1"/>
      <c r="AY1190" s="1"/>
      <c r="AZ1190" s="1"/>
      <c r="BA1190" s="1"/>
      <c r="BB1190" s="1"/>
      <c r="BC1190" s="1"/>
      <c r="BD1190" s="1"/>
      <c r="BE1190" s="1"/>
      <c r="BF1190" s="1"/>
      <c r="BG1190" s="1"/>
      <c r="BH1190" s="1"/>
      <c r="BI1190" s="1"/>
      <c r="BJ1190" s="1"/>
      <c r="BK1190" s="1"/>
      <c r="BL1190" s="1"/>
      <c r="BM1190" s="1"/>
      <c r="BN1190" s="1"/>
      <c r="BO1190" s="1"/>
    </row>
    <row r="1191" spans="5:67" x14ac:dyDescent="0.25"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62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  <c r="AJ1191" s="1"/>
      <c r="AK1191" s="1"/>
      <c r="AL1191" s="1"/>
      <c r="AM1191" s="1"/>
      <c r="AN1191" s="1"/>
      <c r="AO1191" s="1"/>
      <c r="AP1191" s="1"/>
      <c r="AQ1191" s="1"/>
      <c r="AR1191" s="1"/>
      <c r="AS1191" s="1"/>
      <c r="AT1191" s="1"/>
      <c r="AU1191" s="1"/>
      <c r="AV1191" s="1"/>
      <c r="AW1191" s="1"/>
      <c r="AX1191" s="1"/>
      <c r="AY1191" s="1"/>
      <c r="AZ1191" s="1"/>
      <c r="BA1191" s="1"/>
      <c r="BB1191" s="1"/>
      <c r="BC1191" s="1"/>
      <c r="BD1191" s="1"/>
      <c r="BE1191" s="1"/>
      <c r="BF1191" s="1"/>
      <c r="BG1191" s="1"/>
      <c r="BH1191" s="1"/>
      <c r="BI1191" s="1"/>
      <c r="BJ1191" s="1"/>
      <c r="BK1191" s="1"/>
      <c r="BL1191" s="1"/>
      <c r="BM1191" s="1"/>
      <c r="BN1191" s="1"/>
      <c r="BO1191" s="1"/>
    </row>
    <row r="1192" spans="5:67" x14ac:dyDescent="0.25"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62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  <c r="AJ1192" s="1"/>
      <c r="AK1192" s="1"/>
      <c r="AL1192" s="1"/>
      <c r="AM1192" s="1"/>
      <c r="AN1192" s="1"/>
      <c r="AO1192" s="1"/>
      <c r="AP1192" s="1"/>
      <c r="AQ1192" s="1"/>
      <c r="AR1192" s="1"/>
      <c r="AS1192" s="1"/>
      <c r="AT1192" s="1"/>
      <c r="AU1192" s="1"/>
      <c r="AV1192" s="1"/>
      <c r="AW1192" s="1"/>
      <c r="AX1192" s="1"/>
      <c r="AY1192" s="1"/>
      <c r="AZ1192" s="1"/>
      <c r="BA1192" s="1"/>
      <c r="BB1192" s="1"/>
      <c r="BC1192" s="1"/>
      <c r="BD1192" s="1"/>
      <c r="BE1192" s="1"/>
      <c r="BF1192" s="1"/>
      <c r="BG1192" s="1"/>
      <c r="BH1192" s="1"/>
      <c r="BI1192" s="1"/>
      <c r="BJ1192" s="1"/>
      <c r="BK1192" s="1"/>
      <c r="BL1192" s="1"/>
      <c r="BM1192" s="1"/>
      <c r="BN1192" s="1"/>
      <c r="BO1192" s="1"/>
    </row>
    <row r="1193" spans="5:67" x14ac:dyDescent="0.25"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62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  <c r="AJ1193" s="1"/>
      <c r="AK1193" s="1"/>
      <c r="AL1193" s="1"/>
      <c r="AM1193" s="1"/>
      <c r="AN1193" s="1"/>
      <c r="AO1193" s="1"/>
      <c r="AP1193" s="1"/>
      <c r="AQ1193" s="1"/>
      <c r="AR1193" s="1"/>
      <c r="AS1193" s="1"/>
      <c r="AT1193" s="1"/>
      <c r="AU1193" s="1"/>
      <c r="AV1193" s="1"/>
      <c r="AW1193" s="1"/>
      <c r="AX1193" s="1"/>
      <c r="AY1193" s="1"/>
      <c r="AZ1193" s="1"/>
      <c r="BA1193" s="1"/>
      <c r="BB1193" s="1"/>
      <c r="BC1193" s="1"/>
      <c r="BD1193" s="1"/>
      <c r="BE1193" s="1"/>
      <c r="BF1193" s="1"/>
      <c r="BG1193" s="1"/>
      <c r="BH1193" s="1"/>
      <c r="BI1193" s="1"/>
      <c r="BJ1193" s="1"/>
      <c r="BK1193" s="1"/>
      <c r="BL1193" s="1"/>
      <c r="BM1193" s="1"/>
      <c r="BN1193" s="1"/>
      <c r="BO1193" s="1"/>
    </row>
    <row r="1194" spans="5:67" x14ac:dyDescent="0.25"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62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"/>
      <c r="AH1194" s="1"/>
      <c r="AI1194" s="1"/>
      <c r="AJ1194" s="1"/>
      <c r="AK1194" s="1"/>
      <c r="AL1194" s="1"/>
      <c r="AM1194" s="1"/>
      <c r="AN1194" s="1"/>
      <c r="AO1194" s="1"/>
      <c r="AP1194" s="1"/>
      <c r="AQ1194" s="1"/>
      <c r="AR1194" s="1"/>
      <c r="AS1194" s="1"/>
      <c r="AT1194" s="1"/>
      <c r="AU1194" s="1"/>
      <c r="AV1194" s="1"/>
      <c r="AW1194" s="1"/>
      <c r="AX1194" s="1"/>
      <c r="AY1194" s="1"/>
      <c r="AZ1194" s="1"/>
      <c r="BA1194" s="1"/>
      <c r="BB1194" s="1"/>
      <c r="BC1194" s="1"/>
      <c r="BD1194" s="1"/>
      <c r="BE1194" s="1"/>
      <c r="BF1194" s="1"/>
      <c r="BG1194" s="1"/>
      <c r="BH1194" s="1"/>
      <c r="BI1194" s="1"/>
      <c r="BJ1194" s="1"/>
      <c r="BK1194" s="1"/>
      <c r="BL1194" s="1"/>
      <c r="BM1194" s="1"/>
      <c r="BN1194" s="1"/>
      <c r="BO1194" s="1"/>
    </row>
    <row r="1195" spans="5:67" x14ac:dyDescent="0.25"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62"/>
      <c r="W1195" s="1"/>
      <c r="X1195" s="1"/>
      <c r="Y1195" s="1"/>
      <c r="Z1195" s="1"/>
      <c r="AA1195" s="1"/>
      <c r="AB1195" s="1"/>
      <c r="AC1195" s="1"/>
      <c r="AD1195" s="1"/>
      <c r="AE1195" s="1"/>
      <c r="AF1195" s="1"/>
      <c r="AG1195" s="1"/>
      <c r="AH1195" s="1"/>
      <c r="AI1195" s="1"/>
      <c r="AJ1195" s="1"/>
      <c r="AK1195" s="1"/>
      <c r="AL1195" s="1"/>
      <c r="AM1195" s="1"/>
      <c r="AN1195" s="1"/>
      <c r="AO1195" s="1"/>
      <c r="AP1195" s="1"/>
      <c r="AQ1195" s="1"/>
      <c r="AR1195" s="1"/>
      <c r="AS1195" s="1"/>
      <c r="AT1195" s="1"/>
      <c r="AU1195" s="1"/>
      <c r="AV1195" s="1"/>
      <c r="AW1195" s="1"/>
      <c r="AX1195" s="1"/>
      <c r="AY1195" s="1"/>
      <c r="AZ1195" s="1"/>
      <c r="BA1195" s="1"/>
      <c r="BB1195" s="1"/>
      <c r="BC1195" s="1"/>
      <c r="BD1195" s="1"/>
      <c r="BE1195" s="1"/>
      <c r="BF1195" s="1"/>
      <c r="BG1195" s="1"/>
      <c r="BH1195" s="1"/>
      <c r="BI1195" s="1"/>
      <c r="BJ1195" s="1"/>
      <c r="BK1195" s="1"/>
      <c r="BL1195" s="1"/>
      <c r="BM1195" s="1"/>
      <c r="BN1195" s="1"/>
      <c r="BO1195" s="1"/>
    </row>
    <row r="1196" spans="5:67" x14ac:dyDescent="0.25"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62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1"/>
      <c r="AH1196" s="1"/>
      <c r="AI1196" s="1"/>
      <c r="AJ1196" s="1"/>
      <c r="AK1196" s="1"/>
      <c r="AL1196" s="1"/>
      <c r="AM1196" s="1"/>
      <c r="AN1196" s="1"/>
      <c r="AO1196" s="1"/>
      <c r="AP1196" s="1"/>
      <c r="AQ1196" s="1"/>
      <c r="AR1196" s="1"/>
      <c r="AS1196" s="1"/>
      <c r="AT1196" s="1"/>
      <c r="AU1196" s="1"/>
      <c r="AV1196" s="1"/>
      <c r="AW1196" s="1"/>
      <c r="AX1196" s="1"/>
      <c r="AY1196" s="1"/>
      <c r="AZ1196" s="1"/>
      <c r="BA1196" s="1"/>
      <c r="BB1196" s="1"/>
      <c r="BC1196" s="1"/>
      <c r="BD1196" s="1"/>
      <c r="BE1196" s="1"/>
      <c r="BF1196" s="1"/>
      <c r="BG1196" s="1"/>
      <c r="BH1196" s="1"/>
      <c r="BI1196" s="1"/>
      <c r="BJ1196" s="1"/>
      <c r="BK1196" s="1"/>
      <c r="BL1196" s="1"/>
      <c r="BM1196" s="1"/>
      <c r="BN1196" s="1"/>
      <c r="BO1196" s="1"/>
    </row>
    <row r="1197" spans="5:67" x14ac:dyDescent="0.25"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62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1"/>
      <c r="AH1197" s="1"/>
      <c r="AI1197" s="1"/>
      <c r="AJ1197" s="1"/>
      <c r="AK1197" s="1"/>
      <c r="AL1197" s="1"/>
      <c r="AM1197" s="1"/>
      <c r="AN1197" s="1"/>
      <c r="AO1197" s="1"/>
      <c r="AP1197" s="1"/>
      <c r="AQ1197" s="1"/>
      <c r="AR1197" s="1"/>
      <c r="AS1197" s="1"/>
      <c r="AT1197" s="1"/>
      <c r="AU1197" s="1"/>
      <c r="AV1197" s="1"/>
      <c r="AW1197" s="1"/>
      <c r="AX1197" s="1"/>
      <c r="AY1197" s="1"/>
      <c r="AZ1197" s="1"/>
      <c r="BA1197" s="1"/>
      <c r="BB1197" s="1"/>
      <c r="BC1197" s="1"/>
      <c r="BD1197" s="1"/>
      <c r="BE1197" s="1"/>
      <c r="BF1197" s="1"/>
      <c r="BG1197" s="1"/>
      <c r="BH1197" s="1"/>
      <c r="BI1197" s="1"/>
      <c r="BJ1197" s="1"/>
      <c r="BK1197" s="1"/>
      <c r="BL1197" s="1"/>
      <c r="BM1197" s="1"/>
      <c r="BN1197" s="1"/>
      <c r="BO1197" s="1"/>
    </row>
    <row r="1198" spans="5:67" x14ac:dyDescent="0.25"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62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1"/>
      <c r="AH1198" s="1"/>
      <c r="AI1198" s="1"/>
      <c r="AJ1198" s="1"/>
      <c r="AK1198" s="1"/>
      <c r="AL1198" s="1"/>
      <c r="AM1198" s="1"/>
      <c r="AN1198" s="1"/>
      <c r="AO1198" s="1"/>
      <c r="AP1198" s="1"/>
      <c r="AQ1198" s="1"/>
      <c r="AR1198" s="1"/>
      <c r="AS1198" s="1"/>
      <c r="AT1198" s="1"/>
      <c r="AU1198" s="1"/>
      <c r="AV1198" s="1"/>
      <c r="AW1198" s="1"/>
      <c r="AX1198" s="1"/>
      <c r="AY1198" s="1"/>
      <c r="AZ1198" s="1"/>
      <c r="BA1198" s="1"/>
      <c r="BB1198" s="1"/>
      <c r="BC1198" s="1"/>
      <c r="BD1198" s="1"/>
      <c r="BE1198" s="1"/>
      <c r="BF1198" s="1"/>
      <c r="BG1198" s="1"/>
      <c r="BH1198" s="1"/>
      <c r="BI1198" s="1"/>
      <c r="BJ1198" s="1"/>
      <c r="BK1198" s="1"/>
      <c r="BL1198" s="1"/>
      <c r="BM1198" s="1"/>
      <c r="BN1198" s="1"/>
      <c r="BO1198" s="1"/>
    </row>
    <row r="1199" spans="5:67" x14ac:dyDescent="0.25"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62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1"/>
      <c r="AH1199" s="1"/>
      <c r="AI1199" s="1"/>
      <c r="AJ1199" s="1"/>
      <c r="AK1199" s="1"/>
      <c r="AL1199" s="1"/>
      <c r="AM1199" s="1"/>
      <c r="AN1199" s="1"/>
      <c r="AO1199" s="1"/>
      <c r="AP1199" s="1"/>
      <c r="AQ1199" s="1"/>
      <c r="AR1199" s="1"/>
      <c r="AS1199" s="1"/>
      <c r="AT1199" s="1"/>
      <c r="AU1199" s="1"/>
      <c r="AV1199" s="1"/>
      <c r="AW1199" s="1"/>
      <c r="AX1199" s="1"/>
      <c r="AY1199" s="1"/>
      <c r="AZ1199" s="1"/>
      <c r="BA1199" s="1"/>
      <c r="BB1199" s="1"/>
      <c r="BC1199" s="1"/>
      <c r="BD1199" s="1"/>
      <c r="BE1199" s="1"/>
      <c r="BF1199" s="1"/>
      <c r="BG1199" s="1"/>
      <c r="BH1199" s="1"/>
      <c r="BI1199" s="1"/>
      <c r="BJ1199" s="1"/>
      <c r="BK1199" s="1"/>
      <c r="BL1199" s="1"/>
      <c r="BM1199" s="1"/>
      <c r="BN1199" s="1"/>
      <c r="BO1199" s="1"/>
    </row>
    <row r="1200" spans="5:67" x14ac:dyDescent="0.25"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62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  <c r="AJ1200" s="1"/>
      <c r="AK1200" s="1"/>
      <c r="AL1200" s="1"/>
      <c r="AM1200" s="1"/>
      <c r="AN1200" s="1"/>
      <c r="AO1200" s="1"/>
      <c r="AP1200" s="1"/>
      <c r="AQ1200" s="1"/>
      <c r="AR1200" s="1"/>
      <c r="AS1200" s="1"/>
      <c r="AT1200" s="1"/>
      <c r="AU1200" s="1"/>
      <c r="AV1200" s="1"/>
      <c r="AW1200" s="1"/>
      <c r="AX1200" s="1"/>
      <c r="AY1200" s="1"/>
      <c r="AZ1200" s="1"/>
      <c r="BA1200" s="1"/>
      <c r="BB1200" s="1"/>
      <c r="BC1200" s="1"/>
      <c r="BD1200" s="1"/>
      <c r="BE1200" s="1"/>
      <c r="BF1200" s="1"/>
      <c r="BG1200" s="1"/>
      <c r="BH1200" s="1"/>
      <c r="BI1200" s="1"/>
      <c r="BJ1200" s="1"/>
      <c r="BK1200" s="1"/>
      <c r="BL1200" s="1"/>
      <c r="BM1200" s="1"/>
      <c r="BN1200" s="1"/>
      <c r="BO1200" s="1"/>
    </row>
    <row r="1201" spans="5:67" x14ac:dyDescent="0.25"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62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  <c r="AJ1201" s="1"/>
      <c r="AK1201" s="1"/>
      <c r="AL1201" s="1"/>
      <c r="AM1201" s="1"/>
      <c r="AN1201" s="1"/>
      <c r="AO1201" s="1"/>
      <c r="AP1201" s="1"/>
      <c r="AQ1201" s="1"/>
      <c r="AR1201" s="1"/>
      <c r="AS1201" s="1"/>
      <c r="AT1201" s="1"/>
      <c r="AU1201" s="1"/>
      <c r="AV1201" s="1"/>
      <c r="AW1201" s="1"/>
      <c r="AX1201" s="1"/>
      <c r="AY1201" s="1"/>
      <c r="AZ1201" s="1"/>
      <c r="BA1201" s="1"/>
      <c r="BB1201" s="1"/>
      <c r="BC1201" s="1"/>
      <c r="BD1201" s="1"/>
      <c r="BE1201" s="1"/>
      <c r="BF1201" s="1"/>
      <c r="BG1201" s="1"/>
      <c r="BH1201" s="1"/>
      <c r="BI1201" s="1"/>
      <c r="BJ1201" s="1"/>
      <c r="BK1201" s="1"/>
      <c r="BL1201" s="1"/>
      <c r="BM1201" s="1"/>
      <c r="BN1201" s="1"/>
      <c r="BO1201" s="1"/>
    </row>
    <row r="1202" spans="5:67" x14ac:dyDescent="0.25"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62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  <c r="AJ1202" s="1"/>
      <c r="AK1202" s="1"/>
      <c r="AL1202" s="1"/>
      <c r="AM1202" s="1"/>
      <c r="AN1202" s="1"/>
      <c r="AO1202" s="1"/>
      <c r="AP1202" s="1"/>
      <c r="AQ1202" s="1"/>
      <c r="AR1202" s="1"/>
      <c r="AS1202" s="1"/>
      <c r="AT1202" s="1"/>
      <c r="AU1202" s="1"/>
      <c r="AV1202" s="1"/>
      <c r="AW1202" s="1"/>
      <c r="AX1202" s="1"/>
      <c r="AY1202" s="1"/>
      <c r="AZ1202" s="1"/>
      <c r="BA1202" s="1"/>
      <c r="BB1202" s="1"/>
      <c r="BC1202" s="1"/>
      <c r="BD1202" s="1"/>
      <c r="BE1202" s="1"/>
      <c r="BF1202" s="1"/>
      <c r="BG1202" s="1"/>
      <c r="BH1202" s="1"/>
      <c r="BI1202" s="1"/>
      <c r="BJ1202" s="1"/>
      <c r="BK1202" s="1"/>
      <c r="BL1202" s="1"/>
      <c r="BM1202" s="1"/>
      <c r="BN1202" s="1"/>
      <c r="BO1202" s="1"/>
    </row>
    <row r="1203" spans="5:67" x14ac:dyDescent="0.25"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62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  <c r="AJ1203" s="1"/>
      <c r="AK1203" s="1"/>
      <c r="AL1203" s="1"/>
      <c r="AM1203" s="1"/>
      <c r="AN1203" s="1"/>
      <c r="AO1203" s="1"/>
      <c r="AP1203" s="1"/>
      <c r="AQ1203" s="1"/>
      <c r="AR1203" s="1"/>
      <c r="AS1203" s="1"/>
      <c r="AT1203" s="1"/>
      <c r="AU1203" s="1"/>
      <c r="AV1203" s="1"/>
      <c r="AW1203" s="1"/>
      <c r="AX1203" s="1"/>
      <c r="AY1203" s="1"/>
      <c r="AZ1203" s="1"/>
      <c r="BA1203" s="1"/>
      <c r="BB1203" s="1"/>
      <c r="BC1203" s="1"/>
      <c r="BD1203" s="1"/>
      <c r="BE1203" s="1"/>
      <c r="BF1203" s="1"/>
      <c r="BG1203" s="1"/>
      <c r="BH1203" s="1"/>
      <c r="BI1203" s="1"/>
      <c r="BJ1203" s="1"/>
      <c r="BK1203" s="1"/>
      <c r="BL1203" s="1"/>
      <c r="BM1203" s="1"/>
      <c r="BN1203" s="1"/>
      <c r="BO1203" s="1"/>
    </row>
    <row r="1204" spans="5:67" x14ac:dyDescent="0.25"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62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  <c r="AJ1204" s="1"/>
      <c r="AK1204" s="1"/>
      <c r="AL1204" s="1"/>
      <c r="AM1204" s="1"/>
      <c r="AN1204" s="1"/>
      <c r="AO1204" s="1"/>
      <c r="AP1204" s="1"/>
      <c r="AQ1204" s="1"/>
      <c r="AR1204" s="1"/>
      <c r="AS1204" s="1"/>
      <c r="AT1204" s="1"/>
      <c r="AU1204" s="1"/>
      <c r="AV1204" s="1"/>
      <c r="AW1204" s="1"/>
      <c r="AX1204" s="1"/>
      <c r="AY1204" s="1"/>
      <c r="AZ1204" s="1"/>
      <c r="BA1204" s="1"/>
      <c r="BB1204" s="1"/>
      <c r="BC1204" s="1"/>
      <c r="BD1204" s="1"/>
      <c r="BE1204" s="1"/>
      <c r="BF1204" s="1"/>
      <c r="BG1204" s="1"/>
      <c r="BH1204" s="1"/>
      <c r="BI1204" s="1"/>
      <c r="BJ1204" s="1"/>
      <c r="BK1204" s="1"/>
      <c r="BL1204" s="1"/>
      <c r="BM1204" s="1"/>
      <c r="BN1204" s="1"/>
      <c r="BO1204" s="1"/>
    </row>
    <row r="1205" spans="5:67" x14ac:dyDescent="0.25"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62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  <c r="AJ1205" s="1"/>
      <c r="AK1205" s="1"/>
      <c r="AL1205" s="1"/>
      <c r="AM1205" s="1"/>
      <c r="AN1205" s="1"/>
      <c r="AO1205" s="1"/>
      <c r="AP1205" s="1"/>
      <c r="AQ1205" s="1"/>
      <c r="AR1205" s="1"/>
      <c r="AS1205" s="1"/>
      <c r="AT1205" s="1"/>
      <c r="AU1205" s="1"/>
      <c r="AV1205" s="1"/>
      <c r="AW1205" s="1"/>
      <c r="AX1205" s="1"/>
      <c r="AY1205" s="1"/>
      <c r="AZ1205" s="1"/>
      <c r="BA1205" s="1"/>
      <c r="BB1205" s="1"/>
      <c r="BC1205" s="1"/>
      <c r="BD1205" s="1"/>
      <c r="BE1205" s="1"/>
      <c r="BF1205" s="1"/>
      <c r="BG1205" s="1"/>
      <c r="BH1205" s="1"/>
      <c r="BI1205" s="1"/>
      <c r="BJ1205" s="1"/>
      <c r="BK1205" s="1"/>
      <c r="BL1205" s="1"/>
      <c r="BM1205" s="1"/>
      <c r="BN1205" s="1"/>
      <c r="BO1205" s="1"/>
    </row>
    <row r="1206" spans="5:67" x14ac:dyDescent="0.25"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62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  <c r="AJ1206" s="1"/>
      <c r="AK1206" s="1"/>
      <c r="AL1206" s="1"/>
      <c r="AM1206" s="1"/>
      <c r="AN1206" s="1"/>
      <c r="AO1206" s="1"/>
      <c r="AP1206" s="1"/>
      <c r="AQ1206" s="1"/>
      <c r="AR1206" s="1"/>
      <c r="AS1206" s="1"/>
      <c r="AT1206" s="1"/>
      <c r="AU1206" s="1"/>
      <c r="AV1206" s="1"/>
      <c r="AW1206" s="1"/>
      <c r="AX1206" s="1"/>
      <c r="AY1206" s="1"/>
      <c r="AZ1206" s="1"/>
      <c r="BA1206" s="1"/>
      <c r="BB1206" s="1"/>
      <c r="BC1206" s="1"/>
      <c r="BD1206" s="1"/>
      <c r="BE1206" s="1"/>
      <c r="BF1206" s="1"/>
      <c r="BG1206" s="1"/>
      <c r="BH1206" s="1"/>
      <c r="BI1206" s="1"/>
      <c r="BJ1206" s="1"/>
      <c r="BK1206" s="1"/>
      <c r="BL1206" s="1"/>
      <c r="BM1206" s="1"/>
      <c r="BN1206" s="1"/>
      <c r="BO1206" s="1"/>
    </row>
    <row r="1207" spans="5:67" x14ac:dyDescent="0.25"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62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  <c r="AJ1207" s="1"/>
      <c r="AK1207" s="1"/>
      <c r="AL1207" s="1"/>
      <c r="AM1207" s="1"/>
      <c r="AN1207" s="1"/>
      <c r="AO1207" s="1"/>
      <c r="AP1207" s="1"/>
      <c r="AQ1207" s="1"/>
      <c r="AR1207" s="1"/>
      <c r="AS1207" s="1"/>
      <c r="AT1207" s="1"/>
      <c r="AU1207" s="1"/>
      <c r="AV1207" s="1"/>
      <c r="AW1207" s="1"/>
      <c r="AX1207" s="1"/>
      <c r="AY1207" s="1"/>
      <c r="AZ1207" s="1"/>
      <c r="BA1207" s="1"/>
      <c r="BB1207" s="1"/>
      <c r="BC1207" s="1"/>
      <c r="BD1207" s="1"/>
      <c r="BE1207" s="1"/>
      <c r="BF1207" s="1"/>
      <c r="BG1207" s="1"/>
      <c r="BH1207" s="1"/>
      <c r="BI1207" s="1"/>
      <c r="BJ1207" s="1"/>
      <c r="BK1207" s="1"/>
      <c r="BL1207" s="1"/>
      <c r="BM1207" s="1"/>
      <c r="BN1207" s="1"/>
      <c r="BO1207" s="1"/>
    </row>
    <row r="1208" spans="5:67" x14ac:dyDescent="0.25"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62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"/>
      <c r="AH1208" s="1"/>
      <c r="AI1208" s="1"/>
      <c r="AJ1208" s="1"/>
      <c r="AK1208" s="1"/>
      <c r="AL1208" s="1"/>
      <c r="AM1208" s="1"/>
      <c r="AN1208" s="1"/>
      <c r="AO1208" s="1"/>
      <c r="AP1208" s="1"/>
      <c r="AQ1208" s="1"/>
      <c r="AR1208" s="1"/>
      <c r="AS1208" s="1"/>
      <c r="AT1208" s="1"/>
      <c r="AU1208" s="1"/>
      <c r="AV1208" s="1"/>
      <c r="AW1208" s="1"/>
      <c r="AX1208" s="1"/>
      <c r="AY1208" s="1"/>
      <c r="AZ1208" s="1"/>
      <c r="BA1208" s="1"/>
      <c r="BB1208" s="1"/>
      <c r="BC1208" s="1"/>
      <c r="BD1208" s="1"/>
      <c r="BE1208" s="1"/>
      <c r="BF1208" s="1"/>
      <c r="BG1208" s="1"/>
      <c r="BH1208" s="1"/>
      <c r="BI1208" s="1"/>
      <c r="BJ1208" s="1"/>
      <c r="BK1208" s="1"/>
      <c r="BL1208" s="1"/>
      <c r="BM1208" s="1"/>
      <c r="BN1208" s="1"/>
      <c r="BO1208" s="1"/>
    </row>
    <row r="1209" spans="5:67" x14ac:dyDescent="0.25"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62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"/>
      <c r="AH1209" s="1"/>
      <c r="AI1209" s="1"/>
      <c r="AJ1209" s="1"/>
      <c r="AK1209" s="1"/>
      <c r="AL1209" s="1"/>
      <c r="AM1209" s="1"/>
      <c r="AN1209" s="1"/>
      <c r="AO1209" s="1"/>
      <c r="AP1209" s="1"/>
      <c r="AQ1209" s="1"/>
      <c r="AR1209" s="1"/>
      <c r="AS1209" s="1"/>
      <c r="AT1209" s="1"/>
      <c r="AU1209" s="1"/>
      <c r="AV1209" s="1"/>
      <c r="AW1209" s="1"/>
      <c r="AX1209" s="1"/>
      <c r="AY1209" s="1"/>
      <c r="AZ1209" s="1"/>
      <c r="BA1209" s="1"/>
      <c r="BB1209" s="1"/>
      <c r="BC1209" s="1"/>
      <c r="BD1209" s="1"/>
      <c r="BE1209" s="1"/>
      <c r="BF1209" s="1"/>
      <c r="BG1209" s="1"/>
      <c r="BH1209" s="1"/>
      <c r="BI1209" s="1"/>
      <c r="BJ1209" s="1"/>
      <c r="BK1209" s="1"/>
      <c r="BL1209" s="1"/>
      <c r="BM1209" s="1"/>
      <c r="BN1209" s="1"/>
      <c r="BO1209" s="1"/>
    </row>
    <row r="1210" spans="5:67" x14ac:dyDescent="0.25"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62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"/>
      <c r="AH1210" s="1"/>
      <c r="AI1210" s="1"/>
      <c r="AJ1210" s="1"/>
      <c r="AK1210" s="1"/>
      <c r="AL1210" s="1"/>
      <c r="AM1210" s="1"/>
      <c r="AN1210" s="1"/>
      <c r="AO1210" s="1"/>
      <c r="AP1210" s="1"/>
      <c r="AQ1210" s="1"/>
      <c r="AR1210" s="1"/>
      <c r="AS1210" s="1"/>
      <c r="AT1210" s="1"/>
      <c r="AU1210" s="1"/>
      <c r="AV1210" s="1"/>
      <c r="AW1210" s="1"/>
      <c r="AX1210" s="1"/>
      <c r="AY1210" s="1"/>
      <c r="AZ1210" s="1"/>
      <c r="BA1210" s="1"/>
      <c r="BB1210" s="1"/>
      <c r="BC1210" s="1"/>
      <c r="BD1210" s="1"/>
      <c r="BE1210" s="1"/>
      <c r="BF1210" s="1"/>
      <c r="BG1210" s="1"/>
      <c r="BH1210" s="1"/>
      <c r="BI1210" s="1"/>
      <c r="BJ1210" s="1"/>
      <c r="BK1210" s="1"/>
      <c r="BL1210" s="1"/>
      <c r="BM1210" s="1"/>
      <c r="BN1210" s="1"/>
      <c r="BO1210" s="1"/>
    </row>
    <row r="1211" spans="5:67" x14ac:dyDescent="0.25"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62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1"/>
      <c r="AH1211" s="1"/>
      <c r="AI1211" s="1"/>
      <c r="AJ1211" s="1"/>
      <c r="AK1211" s="1"/>
      <c r="AL1211" s="1"/>
      <c r="AM1211" s="1"/>
      <c r="AN1211" s="1"/>
      <c r="AO1211" s="1"/>
      <c r="AP1211" s="1"/>
      <c r="AQ1211" s="1"/>
      <c r="AR1211" s="1"/>
      <c r="AS1211" s="1"/>
      <c r="AT1211" s="1"/>
      <c r="AU1211" s="1"/>
      <c r="AV1211" s="1"/>
      <c r="AW1211" s="1"/>
      <c r="AX1211" s="1"/>
      <c r="AY1211" s="1"/>
      <c r="AZ1211" s="1"/>
      <c r="BA1211" s="1"/>
      <c r="BB1211" s="1"/>
      <c r="BC1211" s="1"/>
      <c r="BD1211" s="1"/>
      <c r="BE1211" s="1"/>
      <c r="BF1211" s="1"/>
      <c r="BG1211" s="1"/>
      <c r="BH1211" s="1"/>
      <c r="BI1211" s="1"/>
      <c r="BJ1211" s="1"/>
      <c r="BK1211" s="1"/>
      <c r="BL1211" s="1"/>
      <c r="BM1211" s="1"/>
      <c r="BN1211" s="1"/>
      <c r="BO1211" s="1"/>
    </row>
    <row r="1212" spans="5:67" x14ac:dyDescent="0.25"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62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1"/>
      <c r="AH1212" s="1"/>
      <c r="AI1212" s="1"/>
      <c r="AJ1212" s="1"/>
      <c r="AK1212" s="1"/>
      <c r="AL1212" s="1"/>
      <c r="AM1212" s="1"/>
      <c r="AN1212" s="1"/>
      <c r="AO1212" s="1"/>
      <c r="AP1212" s="1"/>
      <c r="AQ1212" s="1"/>
      <c r="AR1212" s="1"/>
      <c r="AS1212" s="1"/>
      <c r="AT1212" s="1"/>
      <c r="AU1212" s="1"/>
      <c r="AV1212" s="1"/>
      <c r="AW1212" s="1"/>
      <c r="AX1212" s="1"/>
      <c r="AY1212" s="1"/>
      <c r="AZ1212" s="1"/>
      <c r="BA1212" s="1"/>
      <c r="BB1212" s="1"/>
      <c r="BC1212" s="1"/>
      <c r="BD1212" s="1"/>
      <c r="BE1212" s="1"/>
      <c r="BF1212" s="1"/>
      <c r="BG1212" s="1"/>
      <c r="BH1212" s="1"/>
      <c r="BI1212" s="1"/>
      <c r="BJ1212" s="1"/>
      <c r="BK1212" s="1"/>
      <c r="BL1212" s="1"/>
      <c r="BM1212" s="1"/>
      <c r="BN1212" s="1"/>
      <c r="BO1212" s="1"/>
    </row>
    <row r="1213" spans="5:67" x14ac:dyDescent="0.25"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62"/>
      <c r="W1213" s="1"/>
      <c r="X1213" s="1"/>
      <c r="Y1213" s="1"/>
      <c r="Z1213" s="1"/>
      <c r="AA1213" s="1"/>
      <c r="AB1213" s="1"/>
      <c r="AC1213" s="1"/>
      <c r="AD1213" s="1"/>
      <c r="AE1213" s="1"/>
      <c r="AF1213" s="1"/>
      <c r="AG1213" s="1"/>
      <c r="AH1213" s="1"/>
      <c r="AI1213" s="1"/>
      <c r="AJ1213" s="1"/>
      <c r="AK1213" s="1"/>
      <c r="AL1213" s="1"/>
      <c r="AM1213" s="1"/>
      <c r="AN1213" s="1"/>
      <c r="AO1213" s="1"/>
      <c r="AP1213" s="1"/>
      <c r="AQ1213" s="1"/>
      <c r="AR1213" s="1"/>
      <c r="AS1213" s="1"/>
      <c r="AT1213" s="1"/>
      <c r="AU1213" s="1"/>
      <c r="AV1213" s="1"/>
      <c r="AW1213" s="1"/>
      <c r="AX1213" s="1"/>
      <c r="AY1213" s="1"/>
      <c r="AZ1213" s="1"/>
      <c r="BA1213" s="1"/>
      <c r="BB1213" s="1"/>
      <c r="BC1213" s="1"/>
      <c r="BD1213" s="1"/>
      <c r="BE1213" s="1"/>
      <c r="BF1213" s="1"/>
      <c r="BG1213" s="1"/>
      <c r="BH1213" s="1"/>
      <c r="BI1213" s="1"/>
      <c r="BJ1213" s="1"/>
      <c r="BK1213" s="1"/>
      <c r="BL1213" s="1"/>
      <c r="BM1213" s="1"/>
      <c r="BN1213" s="1"/>
      <c r="BO1213" s="1"/>
    </row>
    <row r="1214" spans="5:67" x14ac:dyDescent="0.25"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62"/>
      <c r="W1214" s="1"/>
      <c r="X1214" s="1"/>
      <c r="Y1214" s="1"/>
      <c r="Z1214" s="1"/>
      <c r="AA1214" s="1"/>
      <c r="AB1214" s="1"/>
      <c r="AC1214" s="1"/>
      <c r="AD1214" s="1"/>
      <c r="AE1214" s="1"/>
      <c r="AF1214" s="1"/>
      <c r="AG1214" s="1"/>
      <c r="AH1214" s="1"/>
      <c r="AI1214" s="1"/>
      <c r="AJ1214" s="1"/>
      <c r="AK1214" s="1"/>
      <c r="AL1214" s="1"/>
      <c r="AM1214" s="1"/>
      <c r="AN1214" s="1"/>
      <c r="AO1214" s="1"/>
      <c r="AP1214" s="1"/>
      <c r="AQ1214" s="1"/>
      <c r="AR1214" s="1"/>
      <c r="AS1214" s="1"/>
      <c r="AT1214" s="1"/>
      <c r="AU1214" s="1"/>
      <c r="AV1214" s="1"/>
      <c r="AW1214" s="1"/>
      <c r="AX1214" s="1"/>
      <c r="AY1214" s="1"/>
      <c r="AZ1214" s="1"/>
      <c r="BA1214" s="1"/>
      <c r="BB1214" s="1"/>
      <c r="BC1214" s="1"/>
      <c r="BD1214" s="1"/>
      <c r="BE1214" s="1"/>
      <c r="BF1214" s="1"/>
      <c r="BG1214" s="1"/>
      <c r="BH1214" s="1"/>
      <c r="BI1214" s="1"/>
      <c r="BJ1214" s="1"/>
      <c r="BK1214" s="1"/>
      <c r="BL1214" s="1"/>
      <c r="BM1214" s="1"/>
      <c r="BN1214" s="1"/>
      <c r="BO1214" s="1"/>
    </row>
    <row r="1215" spans="5:67" x14ac:dyDescent="0.25"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62"/>
      <c r="W1215" s="1"/>
      <c r="X1215" s="1"/>
      <c r="Y1215" s="1"/>
      <c r="Z1215" s="1"/>
      <c r="AA1215" s="1"/>
      <c r="AB1215" s="1"/>
      <c r="AC1215" s="1"/>
      <c r="AD1215" s="1"/>
      <c r="AE1215" s="1"/>
      <c r="AF1215" s="1"/>
      <c r="AG1215" s="1"/>
      <c r="AH1215" s="1"/>
      <c r="AI1215" s="1"/>
      <c r="AJ1215" s="1"/>
      <c r="AK1215" s="1"/>
      <c r="AL1215" s="1"/>
      <c r="AM1215" s="1"/>
      <c r="AN1215" s="1"/>
      <c r="AO1215" s="1"/>
      <c r="AP1215" s="1"/>
      <c r="AQ1215" s="1"/>
      <c r="AR1215" s="1"/>
      <c r="AS1215" s="1"/>
      <c r="AT1215" s="1"/>
      <c r="AU1215" s="1"/>
      <c r="AV1215" s="1"/>
      <c r="AW1215" s="1"/>
      <c r="AX1215" s="1"/>
      <c r="AY1215" s="1"/>
      <c r="AZ1215" s="1"/>
      <c r="BA1215" s="1"/>
      <c r="BB1215" s="1"/>
      <c r="BC1215" s="1"/>
      <c r="BD1215" s="1"/>
      <c r="BE1215" s="1"/>
      <c r="BF1215" s="1"/>
      <c r="BG1215" s="1"/>
      <c r="BH1215" s="1"/>
      <c r="BI1215" s="1"/>
      <c r="BJ1215" s="1"/>
      <c r="BK1215" s="1"/>
      <c r="BL1215" s="1"/>
      <c r="BM1215" s="1"/>
      <c r="BN1215" s="1"/>
      <c r="BO1215" s="1"/>
    </row>
    <row r="1216" spans="5:67" x14ac:dyDescent="0.25"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62"/>
      <c r="W1216" s="1"/>
      <c r="X1216" s="1"/>
      <c r="Y1216" s="1"/>
      <c r="Z1216" s="1"/>
      <c r="AA1216" s="1"/>
      <c r="AB1216" s="1"/>
      <c r="AC1216" s="1"/>
      <c r="AD1216" s="1"/>
      <c r="AE1216" s="1"/>
      <c r="AF1216" s="1"/>
      <c r="AG1216" s="1"/>
      <c r="AH1216" s="1"/>
      <c r="AI1216" s="1"/>
      <c r="AJ1216" s="1"/>
      <c r="AK1216" s="1"/>
      <c r="AL1216" s="1"/>
      <c r="AM1216" s="1"/>
      <c r="AN1216" s="1"/>
      <c r="AO1216" s="1"/>
      <c r="AP1216" s="1"/>
      <c r="AQ1216" s="1"/>
      <c r="AR1216" s="1"/>
      <c r="AS1216" s="1"/>
      <c r="AT1216" s="1"/>
      <c r="AU1216" s="1"/>
      <c r="AV1216" s="1"/>
      <c r="AW1216" s="1"/>
      <c r="AX1216" s="1"/>
      <c r="AY1216" s="1"/>
      <c r="AZ1216" s="1"/>
      <c r="BA1216" s="1"/>
      <c r="BB1216" s="1"/>
      <c r="BC1216" s="1"/>
      <c r="BD1216" s="1"/>
      <c r="BE1216" s="1"/>
      <c r="BF1216" s="1"/>
      <c r="BG1216" s="1"/>
      <c r="BH1216" s="1"/>
      <c r="BI1216" s="1"/>
      <c r="BJ1216" s="1"/>
      <c r="BK1216" s="1"/>
      <c r="BL1216" s="1"/>
      <c r="BM1216" s="1"/>
      <c r="BN1216" s="1"/>
      <c r="BO1216" s="1"/>
    </row>
    <row r="1217" spans="5:67" x14ac:dyDescent="0.25"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62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1"/>
      <c r="AH1217" s="1"/>
      <c r="AI1217" s="1"/>
      <c r="AJ1217" s="1"/>
      <c r="AK1217" s="1"/>
      <c r="AL1217" s="1"/>
      <c r="AM1217" s="1"/>
      <c r="AN1217" s="1"/>
      <c r="AO1217" s="1"/>
      <c r="AP1217" s="1"/>
      <c r="AQ1217" s="1"/>
      <c r="AR1217" s="1"/>
      <c r="AS1217" s="1"/>
      <c r="AT1217" s="1"/>
      <c r="AU1217" s="1"/>
      <c r="AV1217" s="1"/>
      <c r="AW1217" s="1"/>
      <c r="AX1217" s="1"/>
      <c r="AY1217" s="1"/>
      <c r="AZ1217" s="1"/>
      <c r="BA1217" s="1"/>
      <c r="BB1217" s="1"/>
      <c r="BC1217" s="1"/>
      <c r="BD1217" s="1"/>
      <c r="BE1217" s="1"/>
      <c r="BF1217" s="1"/>
      <c r="BG1217" s="1"/>
      <c r="BH1217" s="1"/>
      <c r="BI1217" s="1"/>
      <c r="BJ1217" s="1"/>
      <c r="BK1217" s="1"/>
      <c r="BL1217" s="1"/>
      <c r="BM1217" s="1"/>
      <c r="BN1217" s="1"/>
      <c r="BO1217" s="1"/>
    </row>
    <row r="1218" spans="5:67" x14ac:dyDescent="0.25"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62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1"/>
      <c r="AH1218" s="1"/>
      <c r="AI1218" s="1"/>
      <c r="AJ1218" s="1"/>
      <c r="AK1218" s="1"/>
      <c r="AL1218" s="1"/>
      <c r="AM1218" s="1"/>
      <c r="AN1218" s="1"/>
      <c r="AO1218" s="1"/>
      <c r="AP1218" s="1"/>
      <c r="AQ1218" s="1"/>
      <c r="AR1218" s="1"/>
      <c r="AS1218" s="1"/>
      <c r="AT1218" s="1"/>
      <c r="AU1218" s="1"/>
      <c r="AV1218" s="1"/>
      <c r="AW1218" s="1"/>
      <c r="AX1218" s="1"/>
      <c r="AY1218" s="1"/>
      <c r="AZ1218" s="1"/>
      <c r="BA1218" s="1"/>
      <c r="BB1218" s="1"/>
      <c r="BC1218" s="1"/>
      <c r="BD1218" s="1"/>
      <c r="BE1218" s="1"/>
      <c r="BF1218" s="1"/>
      <c r="BG1218" s="1"/>
      <c r="BH1218" s="1"/>
      <c r="BI1218" s="1"/>
      <c r="BJ1218" s="1"/>
      <c r="BK1218" s="1"/>
      <c r="BL1218" s="1"/>
      <c r="BM1218" s="1"/>
      <c r="BN1218" s="1"/>
      <c r="BO1218" s="1"/>
    </row>
    <row r="1219" spans="5:67" x14ac:dyDescent="0.25"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62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1"/>
      <c r="AH1219" s="1"/>
      <c r="AI1219" s="1"/>
      <c r="AJ1219" s="1"/>
      <c r="AK1219" s="1"/>
      <c r="AL1219" s="1"/>
      <c r="AM1219" s="1"/>
      <c r="AN1219" s="1"/>
      <c r="AO1219" s="1"/>
      <c r="AP1219" s="1"/>
      <c r="AQ1219" s="1"/>
      <c r="AR1219" s="1"/>
      <c r="AS1219" s="1"/>
      <c r="AT1219" s="1"/>
      <c r="AU1219" s="1"/>
      <c r="AV1219" s="1"/>
      <c r="AW1219" s="1"/>
      <c r="AX1219" s="1"/>
      <c r="AY1219" s="1"/>
      <c r="AZ1219" s="1"/>
      <c r="BA1219" s="1"/>
      <c r="BB1219" s="1"/>
      <c r="BC1219" s="1"/>
      <c r="BD1219" s="1"/>
      <c r="BE1219" s="1"/>
      <c r="BF1219" s="1"/>
      <c r="BG1219" s="1"/>
      <c r="BH1219" s="1"/>
      <c r="BI1219" s="1"/>
      <c r="BJ1219" s="1"/>
      <c r="BK1219" s="1"/>
      <c r="BL1219" s="1"/>
      <c r="BM1219" s="1"/>
      <c r="BN1219" s="1"/>
      <c r="BO1219" s="1"/>
    </row>
    <row r="1220" spans="5:67" x14ac:dyDescent="0.25"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62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1"/>
      <c r="AH1220" s="1"/>
      <c r="AI1220" s="1"/>
      <c r="AJ1220" s="1"/>
      <c r="AK1220" s="1"/>
      <c r="AL1220" s="1"/>
      <c r="AM1220" s="1"/>
      <c r="AN1220" s="1"/>
      <c r="AO1220" s="1"/>
      <c r="AP1220" s="1"/>
      <c r="AQ1220" s="1"/>
      <c r="AR1220" s="1"/>
      <c r="AS1220" s="1"/>
      <c r="AT1220" s="1"/>
      <c r="AU1220" s="1"/>
      <c r="AV1220" s="1"/>
      <c r="AW1220" s="1"/>
      <c r="AX1220" s="1"/>
      <c r="AY1220" s="1"/>
      <c r="AZ1220" s="1"/>
      <c r="BA1220" s="1"/>
      <c r="BB1220" s="1"/>
      <c r="BC1220" s="1"/>
      <c r="BD1220" s="1"/>
      <c r="BE1220" s="1"/>
      <c r="BF1220" s="1"/>
      <c r="BG1220" s="1"/>
      <c r="BH1220" s="1"/>
      <c r="BI1220" s="1"/>
      <c r="BJ1220" s="1"/>
      <c r="BK1220" s="1"/>
      <c r="BL1220" s="1"/>
      <c r="BM1220" s="1"/>
      <c r="BN1220" s="1"/>
      <c r="BO1220" s="1"/>
    </row>
    <row r="1221" spans="5:67" x14ac:dyDescent="0.25"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62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1"/>
      <c r="AH1221" s="1"/>
      <c r="AI1221" s="1"/>
      <c r="AJ1221" s="1"/>
      <c r="AK1221" s="1"/>
      <c r="AL1221" s="1"/>
      <c r="AM1221" s="1"/>
      <c r="AN1221" s="1"/>
      <c r="AO1221" s="1"/>
      <c r="AP1221" s="1"/>
      <c r="AQ1221" s="1"/>
      <c r="AR1221" s="1"/>
      <c r="AS1221" s="1"/>
      <c r="AT1221" s="1"/>
      <c r="AU1221" s="1"/>
      <c r="AV1221" s="1"/>
      <c r="AW1221" s="1"/>
      <c r="AX1221" s="1"/>
      <c r="AY1221" s="1"/>
      <c r="AZ1221" s="1"/>
      <c r="BA1221" s="1"/>
      <c r="BB1221" s="1"/>
      <c r="BC1221" s="1"/>
      <c r="BD1221" s="1"/>
      <c r="BE1221" s="1"/>
      <c r="BF1221" s="1"/>
      <c r="BG1221" s="1"/>
      <c r="BH1221" s="1"/>
      <c r="BI1221" s="1"/>
      <c r="BJ1221" s="1"/>
      <c r="BK1221" s="1"/>
      <c r="BL1221" s="1"/>
      <c r="BM1221" s="1"/>
      <c r="BN1221" s="1"/>
      <c r="BO1221" s="1"/>
    </row>
    <row r="1222" spans="5:67" x14ac:dyDescent="0.25"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62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1"/>
      <c r="AH1222" s="1"/>
      <c r="AI1222" s="1"/>
      <c r="AJ1222" s="1"/>
      <c r="AK1222" s="1"/>
      <c r="AL1222" s="1"/>
      <c r="AM1222" s="1"/>
      <c r="AN1222" s="1"/>
      <c r="AO1222" s="1"/>
      <c r="AP1222" s="1"/>
      <c r="AQ1222" s="1"/>
      <c r="AR1222" s="1"/>
      <c r="AS1222" s="1"/>
      <c r="AT1222" s="1"/>
      <c r="AU1222" s="1"/>
      <c r="AV1222" s="1"/>
      <c r="AW1222" s="1"/>
      <c r="AX1222" s="1"/>
      <c r="AY1222" s="1"/>
      <c r="AZ1222" s="1"/>
      <c r="BA1222" s="1"/>
      <c r="BB1222" s="1"/>
      <c r="BC1222" s="1"/>
      <c r="BD1222" s="1"/>
      <c r="BE1222" s="1"/>
      <c r="BF1222" s="1"/>
      <c r="BG1222" s="1"/>
      <c r="BH1222" s="1"/>
      <c r="BI1222" s="1"/>
      <c r="BJ1222" s="1"/>
      <c r="BK1222" s="1"/>
      <c r="BL1222" s="1"/>
      <c r="BM1222" s="1"/>
      <c r="BN1222" s="1"/>
      <c r="BO1222" s="1"/>
    </row>
    <row r="1223" spans="5:67" x14ac:dyDescent="0.25"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62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1"/>
      <c r="AH1223" s="1"/>
      <c r="AI1223" s="1"/>
      <c r="AJ1223" s="1"/>
      <c r="AK1223" s="1"/>
      <c r="AL1223" s="1"/>
      <c r="AM1223" s="1"/>
      <c r="AN1223" s="1"/>
      <c r="AO1223" s="1"/>
      <c r="AP1223" s="1"/>
      <c r="AQ1223" s="1"/>
      <c r="AR1223" s="1"/>
      <c r="AS1223" s="1"/>
      <c r="AT1223" s="1"/>
      <c r="AU1223" s="1"/>
      <c r="AV1223" s="1"/>
      <c r="AW1223" s="1"/>
      <c r="AX1223" s="1"/>
      <c r="AY1223" s="1"/>
      <c r="AZ1223" s="1"/>
      <c r="BA1223" s="1"/>
      <c r="BB1223" s="1"/>
      <c r="BC1223" s="1"/>
      <c r="BD1223" s="1"/>
      <c r="BE1223" s="1"/>
      <c r="BF1223" s="1"/>
      <c r="BG1223" s="1"/>
      <c r="BH1223" s="1"/>
      <c r="BI1223" s="1"/>
      <c r="BJ1223" s="1"/>
      <c r="BK1223" s="1"/>
      <c r="BL1223" s="1"/>
      <c r="BM1223" s="1"/>
      <c r="BN1223" s="1"/>
      <c r="BO1223" s="1"/>
    </row>
    <row r="1224" spans="5:67" x14ac:dyDescent="0.25"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62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1"/>
      <c r="AH1224" s="1"/>
      <c r="AI1224" s="1"/>
      <c r="AJ1224" s="1"/>
      <c r="AK1224" s="1"/>
      <c r="AL1224" s="1"/>
      <c r="AM1224" s="1"/>
      <c r="AN1224" s="1"/>
      <c r="AO1224" s="1"/>
      <c r="AP1224" s="1"/>
      <c r="AQ1224" s="1"/>
      <c r="AR1224" s="1"/>
      <c r="AS1224" s="1"/>
      <c r="AT1224" s="1"/>
      <c r="AU1224" s="1"/>
      <c r="AV1224" s="1"/>
      <c r="AW1224" s="1"/>
      <c r="AX1224" s="1"/>
      <c r="AY1224" s="1"/>
      <c r="AZ1224" s="1"/>
      <c r="BA1224" s="1"/>
      <c r="BB1224" s="1"/>
      <c r="BC1224" s="1"/>
      <c r="BD1224" s="1"/>
      <c r="BE1224" s="1"/>
      <c r="BF1224" s="1"/>
      <c r="BG1224" s="1"/>
      <c r="BH1224" s="1"/>
      <c r="BI1224" s="1"/>
      <c r="BJ1224" s="1"/>
      <c r="BK1224" s="1"/>
      <c r="BL1224" s="1"/>
      <c r="BM1224" s="1"/>
      <c r="BN1224" s="1"/>
      <c r="BO1224" s="1"/>
    </row>
    <row r="1225" spans="5:67" x14ac:dyDescent="0.25"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62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1"/>
      <c r="AH1225" s="1"/>
      <c r="AI1225" s="1"/>
      <c r="AJ1225" s="1"/>
      <c r="AK1225" s="1"/>
      <c r="AL1225" s="1"/>
      <c r="AM1225" s="1"/>
      <c r="AN1225" s="1"/>
      <c r="AO1225" s="1"/>
      <c r="AP1225" s="1"/>
      <c r="AQ1225" s="1"/>
      <c r="AR1225" s="1"/>
      <c r="AS1225" s="1"/>
      <c r="AT1225" s="1"/>
      <c r="AU1225" s="1"/>
      <c r="AV1225" s="1"/>
      <c r="AW1225" s="1"/>
      <c r="AX1225" s="1"/>
      <c r="AY1225" s="1"/>
      <c r="AZ1225" s="1"/>
      <c r="BA1225" s="1"/>
      <c r="BB1225" s="1"/>
      <c r="BC1225" s="1"/>
      <c r="BD1225" s="1"/>
      <c r="BE1225" s="1"/>
      <c r="BF1225" s="1"/>
      <c r="BG1225" s="1"/>
      <c r="BH1225" s="1"/>
      <c r="BI1225" s="1"/>
      <c r="BJ1225" s="1"/>
      <c r="BK1225" s="1"/>
      <c r="BL1225" s="1"/>
      <c r="BM1225" s="1"/>
      <c r="BN1225" s="1"/>
      <c r="BO1225" s="1"/>
    </row>
    <row r="1226" spans="5:67" x14ac:dyDescent="0.25"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62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1"/>
      <c r="AH1226" s="1"/>
      <c r="AI1226" s="1"/>
      <c r="AJ1226" s="1"/>
      <c r="AK1226" s="1"/>
      <c r="AL1226" s="1"/>
      <c r="AM1226" s="1"/>
      <c r="AN1226" s="1"/>
      <c r="AO1226" s="1"/>
      <c r="AP1226" s="1"/>
      <c r="AQ1226" s="1"/>
      <c r="AR1226" s="1"/>
      <c r="AS1226" s="1"/>
      <c r="AT1226" s="1"/>
      <c r="AU1226" s="1"/>
      <c r="AV1226" s="1"/>
      <c r="AW1226" s="1"/>
      <c r="AX1226" s="1"/>
      <c r="AY1226" s="1"/>
      <c r="AZ1226" s="1"/>
      <c r="BA1226" s="1"/>
      <c r="BB1226" s="1"/>
      <c r="BC1226" s="1"/>
      <c r="BD1226" s="1"/>
      <c r="BE1226" s="1"/>
      <c r="BF1226" s="1"/>
      <c r="BG1226" s="1"/>
      <c r="BH1226" s="1"/>
      <c r="BI1226" s="1"/>
      <c r="BJ1226" s="1"/>
      <c r="BK1226" s="1"/>
      <c r="BL1226" s="1"/>
      <c r="BM1226" s="1"/>
      <c r="BN1226" s="1"/>
      <c r="BO1226" s="1"/>
    </row>
    <row r="1227" spans="5:67" x14ac:dyDescent="0.25"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62"/>
      <c r="W1227" s="1"/>
      <c r="X1227" s="1"/>
      <c r="Y1227" s="1"/>
      <c r="Z1227" s="1"/>
      <c r="AA1227" s="1"/>
      <c r="AB1227" s="1"/>
      <c r="AC1227" s="1"/>
      <c r="AD1227" s="1"/>
      <c r="AE1227" s="1"/>
      <c r="AF1227" s="1"/>
      <c r="AG1227" s="1"/>
      <c r="AH1227" s="1"/>
      <c r="AI1227" s="1"/>
      <c r="AJ1227" s="1"/>
      <c r="AK1227" s="1"/>
      <c r="AL1227" s="1"/>
      <c r="AM1227" s="1"/>
      <c r="AN1227" s="1"/>
      <c r="AO1227" s="1"/>
      <c r="AP1227" s="1"/>
      <c r="AQ1227" s="1"/>
      <c r="AR1227" s="1"/>
      <c r="AS1227" s="1"/>
      <c r="AT1227" s="1"/>
      <c r="AU1227" s="1"/>
      <c r="AV1227" s="1"/>
      <c r="AW1227" s="1"/>
      <c r="AX1227" s="1"/>
      <c r="AY1227" s="1"/>
      <c r="AZ1227" s="1"/>
      <c r="BA1227" s="1"/>
      <c r="BB1227" s="1"/>
      <c r="BC1227" s="1"/>
      <c r="BD1227" s="1"/>
      <c r="BE1227" s="1"/>
      <c r="BF1227" s="1"/>
      <c r="BG1227" s="1"/>
      <c r="BH1227" s="1"/>
      <c r="BI1227" s="1"/>
      <c r="BJ1227" s="1"/>
      <c r="BK1227" s="1"/>
      <c r="BL1227" s="1"/>
      <c r="BM1227" s="1"/>
      <c r="BN1227" s="1"/>
      <c r="BO1227" s="1"/>
    </row>
    <row r="1228" spans="5:67" x14ac:dyDescent="0.25"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62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1"/>
      <c r="AH1228" s="1"/>
      <c r="AI1228" s="1"/>
      <c r="AJ1228" s="1"/>
      <c r="AK1228" s="1"/>
      <c r="AL1228" s="1"/>
      <c r="AM1228" s="1"/>
      <c r="AN1228" s="1"/>
      <c r="AO1228" s="1"/>
      <c r="AP1228" s="1"/>
      <c r="AQ1228" s="1"/>
      <c r="AR1228" s="1"/>
      <c r="AS1228" s="1"/>
      <c r="AT1228" s="1"/>
      <c r="AU1228" s="1"/>
      <c r="AV1228" s="1"/>
      <c r="AW1228" s="1"/>
      <c r="AX1228" s="1"/>
      <c r="AY1228" s="1"/>
      <c r="AZ1228" s="1"/>
      <c r="BA1228" s="1"/>
      <c r="BB1228" s="1"/>
      <c r="BC1228" s="1"/>
      <c r="BD1228" s="1"/>
      <c r="BE1228" s="1"/>
      <c r="BF1228" s="1"/>
      <c r="BG1228" s="1"/>
      <c r="BH1228" s="1"/>
      <c r="BI1228" s="1"/>
      <c r="BJ1228" s="1"/>
      <c r="BK1228" s="1"/>
      <c r="BL1228" s="1"/>
      <c r="BM1228" s="1"/>
      <c r="BN1228" s="1"/>
      <c r="BO1228" s="1"/>
    </row>
    <row r="1229" spans="5:67" x14ac:dyDescent="0.25"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62"/>
      <c r="W1229" s="1"/>
      <c r="X1229" s="1"/>
      <c r="Y1229" s="1"/>
      <c r="Z1229" s="1"/>
      <c r="AA1229" s="1"/>
      <c r="AB1229" s="1"/>
      <c r="AC1229" s="1"/>
      <c r="AD1229" s="1"/>
      <c r="AE1229" s="1"/>
      <c r="AF1229" s="1"/>
      <c r="AG1229" s="1"/>
      <c r="AH1229" s="1"/>
      <c r="AI1229" s="1"/>
      <c r="AJ1229" s="1"/>
      <c r="AK1229" s="1"/>
      <c r="AL1229" s="1"/>
      <c r="AM1229" s="1"/>
      <c r="AN1229" s="1"/>
      <c r="AO1229" s="1"/>
      <c r="AP1229" s="1"/>
      <c r="AQ1229" s="1"/>
      <c r="AR1229" s="1"/>
      <c r="AS1229" s="1"/>
      <c r="AT1229" s="1"/>
      <c r="AU1229" s="1"/>
      <c r="AV1229" s="1"/>
      <c r="AW1229" s="1"/>
      <c r="AX1229" s="1"/>
      <c r="AY1229" s="1"/>
      <c r="AZ1229" s="1"/>
      <c r="BA1229" s="1"/>
      <c r="BB1229" s="1"/>
      <c r="BC1229" s="1"/>
      <c r="BD1229" s="1"/>
      <c r="BE1229" s="1"/>
      <c r="BF1229" s="1"/>
      <c r="BG1229" s="1"/>
      <c r="BH1229" s="1"/>
      <c r="BI1229" s="1"/>
      <c r="BJ1229" s="1"/>
      <c r="BK1229" s="1"/>
      <c r="BL1229" s="1"/>
      <c r="BM1229" s="1"/>
      <c r="BN1229" s="1"/>
      <c r="BO1229" s="1"/>
    </row>
    <row r="1230" spans="5:67" x14ac:dyDescent="0.25"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62"/>
      <c r="W1230" s="1"/>
      <c r="X1230" s="1"/>
      <c r="Y1230" s="1"/>
      <c r="Z1230" s="1"/>
      <c r="AA1230" s="1"/>
      <c r="AB1230" s="1"/>
      <c r="AC1230" s="1"/>
      <c r="AD1230" s="1"/>
      <c r="AE1230" s="1"/>
      <c r="AF1230" s="1"/>
      <c r="AG1230" s="1"/>
      <c r="AH1230" s="1"/>
      <c r="AI1230" s="1"/>
      <c r="AJ1230" s="1"/>
      <c r="AK1230" s="1"/>
      <c r="AL1230" s="1"/>
      <c r="AM1230" s="1"/>
      <c r="AN1230" s="1"/>
      <c r="AO1230" s="1"/>
      <c r="AP1230" s="1"/>
      <c r="AQ1230" s="1"/>
      <c r="AR1230" s="1"/>
      <c r="AS1230" s="1"/>
      <c r="AT1230" s="1"/>
      <c r="AU1230" s="1"/>
      <c r="AV1230" s="1"/>
      <c r="AW1230" s="1"/>
      <c r="AX1230" s="1"/>
      <c r="AY1230" s="1"/>
      <c r="AZ1230" s="1"/>
      <c r="BA1230" s="1"/>
      <c r="BB1230" s="1"/>
      <c r="BC1230" s="1"/>
      <c r="BD1230" s="1"/>
      <c r="BE1230" s="1"/>
      <c r="BF1230" s="1"/>
      <c r="BG1230" s="1"/>
      <c r="BH1230" s="1"/>
      <c r="BI1230" s="1"/>
      <c r="BJ1230" s="1"/>
      <c r="BK1230" s="1"/>
      <c r="BL1230" s="1"/>
      <c r="BM1230" s="1"/>
      <c r="BN1230" s="1"/>
      <c r="BO1230" s="1"/>
    </row>
    <row r="1231" spans="5:67" x14ac:dyDescent="0.25"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62"/>
      <c r="W1231" s="1"/>
      <c r="X1231" s="1"/>
      <c r="Y1231" s="1"/>
      <c r="Z1231" s="1"/>
      <c r="AA1231" s="1"/>
      <c r="AB1231" s="1"/>
      <c r="AC1231" s="1"/>
      <c r="AD1231" s="1"/>
      <c r="AE1231" s="1"/>
      <c r="AF1231" s="1"/>
      <c r="AG1231" s="1"/>
      <c r="AH1231" s="1"/>
      <c r="AI1231" s="1"/>
      <c r="AJ1231" s="1"/>
      <c r="AK1231" s="1"/>
      <c r="AL1231" s="1"/>
      <c r="AM1231" s="1"/>
      <c r="AN1231" s="1"/>
      <c r="AO1231" s="1"/>
      <c r="AP1231" s="1"/>
      <c r="AQ1231" s="1"/>
      <c r="AR1231" s="1"/>
      <c r="AS1231" s="1"/>
      <c r="AT1231" s="1"/>
      <c r="AU1231" s="1"/>
      <c r="AV1231" s="1"/>
      <c r="AW1231" s="1"/>
      <c r="AX1231" s="1"/>
      <c r="AY1231" s="1"/>
      <c r="AZ1231" s="1"/>
      <c r="BA1231" s="1"/>
      <c r="BB1231" s="1"/>
      <c r="BC1231" s="1"/>
      <c r="BD1231" s="1"/>
      <c r="BE1231" s="1"/>
      <c r="BF1231" s="1"/>
      <c r="BG1231" s="1"/>
      <c r="BH1231" s="1"/>
      <c r="BI1231" s="1"/>
      <c r="BJ1231" s="1"/>
      <c r="BK1231" s="1"/>
      <c r="BL1231" s="1"/>
      <c r="BM1231" s="1"/>
      <c r="BN1231" s="1"/>
      <c r="BO1231" s="1"/>
    </row>
    <row r="1232" spans="5:67" x14ac:dyDescent="0.25"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62"/>
      <c r="W1232" s="1"/>
      <c r="X1232" s="1"/>
      <c r="Y1232" s="1"/>
      <c r="Z1232" s="1"/>
      <c r="AA1232" s="1"/>
      <c r="AB1232" s="1"/>
      <c r="AC1232" s="1"/>
      <c r="AD1232" s="1"/>
      <c r="AE1232" s="1"/>
      <c r="AF1232" s="1"/>
      <c r="AG1232" s="1"/>
      <c r="AH1232" s="1"/>
      <c r="AI1232" s="1"/>
      <c r="AJ1232" s="1"/>
      <c r="AK1232" s="1"/>
      <c r="AL1232" s="1"/>
      <c r="AM1232" s="1"/>
      <c r="AN1232" s="1"/>
      <c r="AO1232" s="1"/>
      <c r="AP1232" s="1"/>
      <c r="AQ1232" s="1"/>
      <c r="AR1232" s="1"/>
      <c r="AS1232" s="1"/>
      <c r="AT1232" s="1"/>
      <c r="AU1232" s="1"/>
      <c r="AV1232" s="1"/>
      <c r="AW1232" s="1"/>
      <c r="AX1232" s="1"/>
      <c r="AY1232" s="1"/>
      <c r="AZ1232" s="1"/>
      <c r="BA1232" s="1"/>
      <c r="BB1232" s="1"/>
      <c r="BC1232" s="1"/>
      <c r="BD1232" s="1"/>
      <c r="BE1232" s="1"/>
      <c r="BF1232" s="1"/>
      <c r="BG1232" s="1"/>
      <c r="BH1232" s="1"/>
      <c r="BI1232" s="1"/>
      <c r="BJ1232" s="1"/>
      <c r="BK1232" s="1"/>
      <c r="BL1232" s="1"/>
      <c r="BM1232" s="1"/>
      <c r="BN1232" s="1"/>
      <c r="BO1232" s="1"/>
    </row>
    <row r="1233" spans="5:67" x14ac:dyDescent="0.25"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62"/>
      <c r="W1233" s="1"/>
      <c r="X1233" s="1"/>
      <c r="Y1233" s="1"/>
      <c r="Z1233" s="1"/>
      <c r="AA1233" s="1"/>
      <c r="AB1233" s="1"/>
      <c r="AC1233" s="1"/>
      <c r="AD1233" s="1"/>
      <c r="AE1233" s="1"/>
      <c r="AF1233" s="1"/>
      <c r="AG1233" s="1"/>
      <c r="AH1233" s="1"/>
      <c r="AI1233" s="1"/>
      <c r="AJ1233" s="1"/>
      <c r="AK1233" s="1"/>
      <c r="AL1233" s="1"/>
      <c r="AM1233" s="1"/>
      <c r="AN1233" s="1"/>
      <c r="AO1233" s="1"/>
      <c r="AP1233" s="1"/>
      <c r="AQ1233" s="1"/>
      <c r="AR1233" s="1"/>
      <c r="AS1233" s="1"/>
      <c r="AT1233" s="1"/>
      <c r="AU1233" s="1"/>
      <c r="AV1233" s="1"/>
      <c r="AW1233" s="1"/>
      <c r="AX1233" s="1"/>
      <c r="AY1233" s="1"/>
      <c r="AZ1233" s="1"/>
      <c r="BA1233" s="1"/>
      <c r="BB1233" s="1"/>
      <c r="BC1233" s="1"/>
      <c r="BD1233" s="1"/>
      <c r="BE1233" s="1"/>
      <c r="BF1233" s="1"/>
      <c r="BG1233" s="1"/>
      <c r="BH1233" s="1"/>
      <c r="BI1233" s="1"/>
      <c r="BJ1233" s="1"/>
      <c r="BK1233" s="1"/>
      <c r="BL1233" s="1"/>
      <c r="BM1233" s="1"/>
      <c r="BN1233" s="1"/>
      <c r="BO1233" s="1"/>
    </row>
    <row r="1234" spans="5:67" x14ac:dyDescent="0.25"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62"/>
      <c r="W1234" s="1"/>
      <c r="X1234" s="1"/>
      <c r="Y1234" s="1"/>
      <c r="Z1234" s="1"/>
      <c r="AA1234" s="1"/>
      <c r="AB1234" s="1"/>
      <c r="AC1234" s="1"/>
      <c r="AD1234" s="1"/>
      <c r="AE1234" s="1"/>
      <c r="AF1234" s="1"/>
      <c r="AG1234" s="1"/>
      <c r="AH1234" s="1"/>
      <c r="AI1234" s="1"/>
      <c r="AJ1234" s="1"/>
      <c r="AK1234" s="1"/>
      <c r="AL1234" s="1"/>
      <c r="AM1234" s="1"/>
      <c r="AN1234" s="1"/>
      <c r="AO1234" s="1"/>
      <c r="AP1234" s="1"/>
      <c r="AQ1234" s="1"/>
      <c r="AR1234" s="1"/>
      <c r="AS1234" s="1"/>
      <c r="AT1234" s="1"/>
      <c r="AU1234" s="1"/>
      <c r="AV1234" s="1"/>
      <c r="AW1234" s="1"/>
      <c r="AX1234" s="1"/>
      <c r="AY1234" s="1"/>
      <c r="AZ1234" s="1"/>
      <c r="BA1234" s="1"/>
      <c r="BB1234" s="1"/>
      <c r="BC1234" s="1"/>
      <c r="BD1234" s="1"/>
      <c r="BE1234" s="1"/>
      <c r="BF1234" s="1"/>
      <c r="BG1234" s="1"/>
      <c r="BH1234" s="1"/>
      <c r="BI1234" s="1"/>
      <c r="BJ1234" s="1"/>
      <c r="BK1234" s="1"/>
      <c r="BL1234" s="1"/>
      <c r="BM1234" s="1"/>
      <c r="BN1234" s="1"/>
      <c r="BO1234" s="1"/>
    </row>
    <row r="1235" spans="5:67" x14ac:dyDescent="0.25"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62"/>
      <c r="W1235" s="1"/>
      <c r="X1235" s="1"/>
      <c r="Y1235" s="1"/>
      <c r="Z1235" s="1"/>
      <c r="AA1235" s="1"/>
      <c r="AB1235" s="1"/>
      <c r="AC1235" s="1"/>
      <c r="AD1235" s="1"/>
      <c r="AE1235" s="1"/>
      <c r="AF1235" s="1"/>
      <c r="AG1235" s="1"/>
      <c r="AH1235" s="1"/>
      <c r="AI1235" s="1"/>
      <c r="AJ1235" s="1"/>
      <c r="AK1235" s="1"/>
      <c r="AL1235" s="1"/>
      <c r="AM1235" s="1"/>
      <c r="AN1235" s="1"/>
      <c r="AO1235" s="1"/>
      <c r="AP1235" s="1"/>
      <c r="AQ1235" s="1"/>
      <c r="AR1235" s="1"/>
      <c r="AS1235" s="1"/>
      <c r="AT1235" s="1"/>
      <c r="AU1235" s="1"/>
      <c r="AV1235" s="1"/>
      <c r="AW1235" s="1"/>
      <c r="AX1235" s="1"/>
      <c r="AY1235" s="1"/>
      <c r="AZ1235" s="1"/>
      <c r="BA1235" s="1"/>
      <c r="BB1235" s="1"/>
      <c r="BC1235" s="1"/>
      <c r="BD1235" s="1"/>
      <c r="BE1235" s="1"/>
      <c r="BF1235" s="1"/>
      <c r="BG1235" s="1"/>
      <c r="BH1235" s="1"/>
      <c r="BI1235" s="1"/>
      <c r="BJ1235" s="1"/>
      <c r="BK1235" s="1"/>
      <c r="BL1235" s="1"/>
      <c r="BM1235" s="1"/>
      <c r="BN1235" s="1"/>
      <c r="BO1235" s="1"/>
    </row>
    <row r="1236" spans="5:67" x14ac:dyDescent="0.25"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62"/>
      <c r="W1236" s="1"/>
      <c r="X1236" s="1"/>
      <c r="Y1236" s="1"/>
      <c r="Z1236" s="1"/>
      <c r="AA1236" s="1"/>
      <c r="AB1236" s="1"/>
      <c r="AC1236" s="1"/>
      <c r="AD1236" s="1"/>
      <c r="AE1236" s="1"/>
      <c r="AF1236" s="1"/>
      <c r="AG1236" s="1"/>
      <c r="AH1236" s="1"/>
      <c r="AI1236" s="1"/>
      <c r="AJ1236" s="1"/>
      <c r="AK1236" s="1"/>
      <c r="AL1236" s="1"/>
      <c r="AM1236" s="1"/>
      <c r="AN1236" s="1"/>
      <c r="AO1236" s="1"/>
      <c r="AP1236" s="1"/>
      <c r="AQ1236" s="1"/>
      <c r="AR1236" s="1"/>
      <c r="AS1236" s="1"/>
      <c r="AT1236" s="1"/>
      <c r="AU1236" s="1"/>
      <c r="AV1236" s="1"/>
      <c r="AW1236" s="1"/>
      <c r="AX1236" s="1"/>
      <c r="AY1236" s="1"/>
      <c r="AZ1236" s="1"/>
      <c r="BA1236" s="1"/>
      <c r="BB1236" s="1"/>
      <c r="BC1236" s="1"/>
      <c r="BD1236" s="1"/>
      <c r="BE1236" s="1"/>
      <c r="BF1236" s="1"/>
      <c r="BG1236" s="1"/>
      <c r="BH1236" s="1"/>
      <c r="BI1236" s="1"/>
      <c r="BJ1236" s="1"/>
      <c r="BK1236" s="1"/>
      <c r="BL1236" s="1"/>
      <c r="BM1236" s="1"/>
      <c r="BN1236" s="1"/>
      <c r="BO1236" s="1"/>
    </row>
    <row r="1237" spans="5:67" x14ac:dyDescent="0.25"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62"/>
      <c r="W1237" s="1"/>
      <c r="X1237" s="1"/>
      <c r="Y1237" s="1"/>
      <c r="Z1237" s="1"/>
      <c r="AA1237" s="1"/>
      <c r="AB1237" s="1"/>
      <c r="AC1237" s="1"/>
      <c r="AD1237" s="1"/>
      <c r="AE1237" s="1"/>
      <c r="AF1237" s="1"/>
      <c r="AG1237" s="1"/>
      <c r="AH1237" s="1"/>
      <c r="AI1237" s="1"/>
      <c r="AJ1237" s="1"/>
      <c r="AK1237" s="1"/>
      <c r="AL1237" s="1"/>
      <c r="AM1237" s="1"/>
      <c r="AN1237" s="1"/>
      <c r="AO1237" s="1"/>
      <c r="AP1237" s="1"/>
      <c r="AQ1237" s="1"/>
      <c r="AR1237" s="1"/>
      <c r="AS1237" s="1"/>
      <c r="AT1237" s="1"/>
      <c r="AU1237" s="1"/>
      <c r="AV1237" s="1"/>
      <c r="AW1237" s="1"/>
      <c r="AX1237" s="1"/>
      <c r="AY1237" s="1"/>
      <c r="AZ1237" s="1"/>
      <c r="BA1237" s="1"/>
      <c r="BB1237" s="1"/>
      <c r="BC1237" s="1"/>
      <c r="BD1237" s="1"/>
      <c r="BE1237" s="1"/>
      <c r="BF1237" s="1"/>
      <c r="BG1237" s="1"/>
      <c r="BH1237" s="1"/>
      <c r="BI1237" s="1"/>
      <c r="BJ1237" s="1"/>
      <c r="BK1237" s="1"/>
      <c r="BL1237" s="1"/>
      <c r="BM1237" s="1"/>
      <c r="BN1237" s="1"/>
      <c r="BO1237" s="1"/>
    </row>
    <row r="1238" spans="5:67" x14ac:dyDescent="0.25"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62"/>
      <c r="W1238" s="1"/>
      <c r="X1238" s="1"/>
      <c r="Y1238" s="1"/>
      <c r="Z1238" s="1"/>
      <c r="AA1238" s="1"/>
      <c r="AB1238" s="1"/>
      <c r="AC1238" s="1"/>
      <c r="AD1238" s="1"/>
      <c r="AE1238" s="1"/>
      <c r="AF1238" s="1"/>
      <c r="AG1238" s="1"/>
      <c r="AH1238" s="1"/>
      <c r="AI1238" s="1"/>
      <c r="AJ1238" s="1"/>
      <c r="AK1238" s="1"/>
      <c r="AL1238" s="1"/>
      <c r="AM1238" s="1"/>
      <c r="AN1238" s="1"/>
      <c r="AO1238" s="1"/>
      <c r="AP1238" s="1"/>
      <c r="AQ1238" s="1"/>
      <c r="AR1238" s="1"/>
      <c r="AS1238" s="1"/>
      <c r="AT1238" s="1"/>
      <c r="AU1238" s="1"/>
      <c r="AV1238" s="1"/>
      <c r="AW1238" s="1"/>
      <c r="AX1238" s="1"/>
      <c r="AY1238" s="1"/>
      <c r="AZ1238" s="1"/>
      <c r="BA1238" s="1"/>
      <c r="BB1238" s="1"/>
      <c r="BC1238" s="1"/>
      <c r="BD1238" s="1"/>
      <c r="BE1238" s="1"/>
      <c r="BF1238" s="1"/>
      <c r="BG1238" s="1"/>
      <c r="BH1238" s="1"/>
      <c r="BI1238" s="1"/>
      <c r="BJ1238" s="1"/>
      <c r="BK1238" s="1"/>
      <c r="BL1238" s="1"/>
      <c r="BM1238" s="1"/>
      <c r="BN1238" s="1"/>
      <c r="BO1238" s="1"/>
    </row>
    <row r="1239" spans="5:67" x14ac:dyDescent="0.25"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62"/>
      <c r="W1239" s="1"/>
      <c r="X1239" s="1"/>
      <c r="Y1239" s="1"/>
      <c r="Z1239" s="1"/>
      <c r="AA1239" s="1"/>
      <c r="AB1239" s="1"/>
      <c r="AC1239" s="1"/>
      <c r="AD1239" s="1"/>
      <c r="AE1239" s="1"/>
      <c r="AF1239" s="1"/>
      <c r="AG1239" s="1"/>
      <c r="AH1239" s="1"/>
      <c r="AI1239" s="1"/>
      <c r="AJ1239" s="1"/>
      <c r="AK1239" s="1"/>
      <c r="AL1239" s="1"/>
      <c r="AM1239" s="1"/>
      <c r="AN1239" s="1"/>
      <c r="AO1239" s="1"/>
      <c r="AP1239" s="1"/>
      <c r="AQ1239" s="1"/>
      <c r="AR1239" s="1"/>
      <c r="AS1239" s="1"/>
      <c r="AT1239" s="1"/>
      <c r="AU1239" s="1"/>
      <c r="AV1239" s="1"/>
      <c r="AW1239" s="1"/>
      <c r="AX1239" s="1"/>
      <c r="AY1239" s="1"/>
      <c r="AZ1239" s="1"/>
      <c r="BA1239" s="1"/>
      <c r="BB1239" s="1"/>
      <c r="BC1239" s="1"/>
      <c r="BD1239" s="1"/>
      <c r="BE1239" s="1"/>
      <c r="BF1239" s="1"/>
      <c r="BG1239" s="1"/>
      <c r="BH1239" s="1"/>
      <c r="BI1239" s="1"/>
      <c r="BJ1239" s="1"/>
      <c r="BK1239" s="1"/>
      <c r="BL1239" s="1"/>
      <c r="BM1239" s="1"/>
      <c r="BN1239" s="1"/>
      <c r="BO1239" s="1"/>
    </row>
    <row r="1240" spans="5:67" x14ac:dyDescent="0.25"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62"/>
      <c r="W1240" s="1"/>
      <c r="X1240" s="1"/>
      <c r="Y1240" s="1"/>
      <c r="Z1240" s="1"/>
      <c r="AA1240" s="1"/>
      <c r="AB1240" s="1"/>
      <c r="AC1240" s="1"/>
      <c r="AD1240" s="1"/>
      <c r="AE1240" s="1"/>
      <c r="AF1240" s="1"/>
      <c r="AG1240" s="1"/>
      <c r="AH1240" s="1"/>
      <c r="AI1240" s="1"/>
      <c r="AJ1240" s="1"/>
      <c r="AK1240" s="1"/>
      <c r="AL1240" s="1"/>
      <c r="AM1240" s="1"/>
      <c r="AN1240" s="1"/>
      <c r="AO1240" s="1"/>
      <c r="AP1240" s="1"/>
      <c r="AQ1240" s="1"/>
      <c r="AR1240" s="1"/>
      <c r="AS1240" s="1"/>
      <c r="AT1240" s="1"/>
      <c r="AU1240" s="1"/>
      <c r="AV1240" s="1"/>
      <c r="AW1240" s="1"/>
      <c r="AX1240" s="1"/>
      <c r="AY1240" s="1"/>
      <c r="AZ1240" s="1"/>
      <c r="BA1240" s="1"/>
      <c r="BB1240" s="1"/>
      <c r="BC1240" s="1"/>
      <c r="BD1240" s="1"/>
      <c r="BE1240" s="1"/>
      <c r="BF1240" s="1"/>
      <c r="BG1240" s="1"/>
      <c r="BH1240" s="1"/>
      <c r="BI1240" s="1"/>
      <c r="BJ1240" s="1"/>
      <c r="BK1240" s="1"/>
      <c r="BL1240" s="1"/>
      <c r="BM1240" s="1"/>
      <c r="BN1240" s="1"/>
      <c r="BO1240" s="1"/>
    </row>
    <row r="1241" spans="5:67" x14ac:dyDescent="0.25"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62"/>
      <c r="W1241" s="1"/>
      <c r="X1241" s="1"/>
      <c r="Y1241" s="1"/>
      <c r="Z1241" s="1"/>
      <c r="AA1241" s="1"/>
      <c r="AB1241" s="1"/>
      <c r="AC1241" s="1"/>
      <c r="AD1241" s="1"/>
      <c r="AE1241" s="1"/>
      <c r="AF1241" s="1"/>
      <c r="AG1241" s="1"/>
      <c r="AH1241" s="1"/>
      <c r="AI1241" s="1"/>
      <c r="AJ1241" s="1"/>
      <c r="AK1241" s="1"/>
      <c r="AL1241" s="1"/>
      <c r="AM1241" s="1"/>
      <c r="AN1241" s="1"/>
      <c r="AO1241" s="1"/>
      <c r="AP1241" s="1"/>
      <c r="AQ1241" s="1"/>
      <c r="AR1241" s="1"/>
      <c r="AS1241" s="1"/>
      <c r="AT1241" s="1"/>
      <c r="AU1241" s="1"/>
      <c r="AV1241" s="1"/>
      <c r="AW1241" s="1"/>
      <c r="AX1241" s="1"/>
      <c r="AY1241" s="1"/>
      <c r="AZ1241" s="1"/>
      <c r="BA1241" s="1"/>
      <c r="BB1241" s="1"/>
      <c r="BC1241" s="1"/>
      <c r="BD1241" s="1"/>
      <c r="BE1241" s="1"/>
      <c r="BF1241" s="1"/>
      <c r="BG1241" s="1"/>
      <c r="BH1241" s="1"/>
      <c r="BI1241" s="1"/>
      <c r="BJ1241" s="1"/>
      <c r="BK1241" s="1"/>
      <c r="BL1241" s="1"/>
      <c r="BM1241" s="1"/>
      <c r="BN1241" s="1"/>
      <c r="BO1241" s="1"/>
    </row>
    <row r="1242" spans="5:67" x14ac:dyDescent="0.25"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62"/>
      <c r="W1242" s="1"/>
      <c r="X1242" s="1"/>
      <c r="Y1242" s="1"/>
      <c r="Z1242" s="1"/>
      <c r="AA1242" s="1"/>
      <c r="AB1242" s="1"/>
      <c r="AC1242" s="1"/>
      <c r="AD1242" s="1"/>
      <c r="AE1242" s="1"/>
      <c r="AF1242" s="1"/>
      <c r="AG1242" s="1"/>
      <c r="AH1242" s="1"/>
      <c r="AI1242" s="1"/>
      <c r="AJ1242" s="1"/>
      <c r="AK1242" s="1"/>
      <c r="AL1242" s="1"/>
      <c r="AM1242" s="1"/>
      <c r="AN1242" s="1"/>
      <c r="AO1242" s="1"/>
      <c r="AP1242" s="1"/>
      <c r="AQ1242" s="1"/>
      <c r="AR1242" s="1"/>
      <c r="AS1242" s="1"/>
      <c r="AT1242" s="1"/>
      <c r="AU1242" s="1"/>
      <c r="AV1242" s="1"/>
      <c r="AW1242" s="1"/>
      <c r="AX1242" s="1"/>
      <c r="AY1242" s="1"/>
      <c r="AZ1242" s="1"/>
      <c r="BA1242" s="1"/>
      <c r="BB1242" s="1"/>
      <c r="BC1242" s="1"/>
      <c r="BD1242" s="1"/>
      <c r="BE1242" s="1"/>
      <c r="BF1242" s="1"/>
      <c r="BG1242" s="1"/>
      <c r="BH1242" s="1"/>
      <c r="BI1242" s="1"/>
      <c r="BJ1242" s="1"/>
      <c r="BK1242" s="1"/>
      <c r="BL1242" s="1"/>
      <c r="BM1242" s="1"/>
      <c r="BN1242" s="1"/>
      <c r="BO1242" s="1"/>
    </row>
    <row r="1243" spans="5:67" x14ac:dyDescent="0.25"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62"/>
      <c r="W1243" s="1"/>
      <c r="X1243" s="1"/>
      <c r="Y1243" s="1"/>
      <c r="Z1243" s="1"/>
      <c r="AA1243" s="1"/>
      <c r="AB1243" s="1"/>
      <c r="AC1243" s="1"/>
      <c r="AD1243" s="1"/>
      <c r="AE1243" s="1"/>
      <c r="AF1243" s="1"/>
      <c r="AG1243" s="1"/>
      <c r="AH1243" s="1"/>
      <c r="AI1243" s="1"/>
      <c r="AJ1243" s="1"/>
      <c r="AK1243" s="1"/>
      <c r="AL1243" s="1"/>
      <c r="AM1243" s="1"/>
      <c r="AN1243" s="1"/>
      <c r="AO1243" s="1"/>
      <c r="AP1243" s="1"/>
      <c r="AQ1243" s="1"/>
      <c r="AR1243" s="1"/>
      <c r="AS1243" s="1"/>
      <c r="AT1243" s="1"/>
      <c r="AU1243" s="1"/>
      <c r="AV1243" s="1"/>
      <c r="AW1243" s="1"/>
      <c r="AX1243" s="1"/>
      <c r="AY1243" s="1"/>
      <c r="AZ1243" s="1"/>
      <c r="BA1243" s="1"/>
      <c r="BB1243" s="1"/>
      <c r="BC1243" s="1"/>
      <c r="BD1243" s="1"/>
      <c r="BE1243" s="1"/>
      <c r="BF1243" s="1"/>
      <c r="BG1243" s="1"/>
      <c r="BH1243" s="1"/>
      <c r="BI1243" s="1"/>
      <c r="BJ1243" s="1"/>
      <c r="BK1243" s="1"/>
      <c r="BL1243" s="1"/>
      <c r="BM1243" s="1"/>
      <c r="BN1243" s="1"/>
      <c r="BO1243" s="1"/>
    </row>
    <row r="1244" spans="5:67" x14ac:dyDescent="0.25"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62"/>
      <c r="W1244" s="1"/>
      <c r="X1244" s="1"/>
      <c r="Y1244" s="1"/>
      <c r="Z1244" s="1"/>
      <c r="AA1244" s="1"/>
      <c r="AB1244" s="1"/>
      <c r="AC1244" s="1"/>
      <c r="AD1244" s="1"/>
      <c r="AE1244" s="1"/>
      <c r="AF1244" s="1"/>
      <c r="AG1244" s="1"/>
      <c r="AH1244" s="1"/>
      <c r="AI1244" s="1"/>
      <c r="AJ1244" s="1"/>
      <c r="AK1244" s="1"/>
      <c r="AL1244" s="1"/>
      <c r="AM1244" s="1"/>
      <c r="AN1244" s="1"/>
      <c r="AO1244" s="1"/>
      <c r="AP1244" s="1"/>
      <c r="AQ1244" s="1"/>
      <c r="AR1244" s="1"/>
      <c r="AS1244" s="1"/>
      <c r="AT1244" s="1"/>
      <c r="AU1244" s="1"/>
      <c r="AV1244" s="1"/>
      <c r="AW1244" s="1"/>
      <c r="AX1244" s="1"/>
      <c r="AY1244" s="1"/>
      <c r="AZ1244" s="1"/>
      <c r="BA1244" s="1"/>
      <c r="BB1244" s="1"/>
      <c r="BC1244" s="1"/>
      <c r="BD1244" s="1"/>
      <c r="BE1244" s="1"/>
      <c r="BF1244" s="1"/>
      <c r="BG1244" s="1"/>
      <c r="BH1244" s="1"/>
      <c r="BI1244" s="1"/>
      <c r="BJ1244" s="1"/>
      <c r="BK1244" s="1"/>
      <c r="BL1244" s="1"/>
      <c r="BM1244" s="1"/>
      <c r="BN1244" s="1"/>
      <c r="BO1244" s="1"/>
    </row>
    <row r="1245" spans="5:67" x14ac:dyDescent="0.25"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62"/>
      <c r="W1245" s="1"/>
      <c r="X1245" s="1"/>
      <c r="Y1245" s="1"/>
      <c r="Z1245" s="1"/>
      <c r="AA1245" s="1"/>
      <c r="AB1245" s="1"/>
      <c r="AC1245" s="1"/>
      <c r="AD1245" s="1"/>
      <c r="AE1245" s="1"/>
      <c r="AF1245" s="1"/>
      <c r="AG1245" s="1"/>
      <c r="AH1245" s="1"/>
      <c r="AI1245" s="1"/>
      <c r="AJ1245" s="1"/>
      <c r="AK1245" s="1"/>
      <c r="AL1245" s="1"/>
      <c r="AM1245" s="1"/>
      <c r="AN1245" s="1"/>
      <c r="AO1245" s="1"/>
      <c r="AP1245" s="1"/>
      <c r="AQ1245" s="1"/>
      <c r="AR1245" s="1"/>
      <c r="AS1245" s="1"/>
      <c r="AT1245" s="1"/>
      <c r="AU1245" s="1"/>
      <c r="AV1245" s="1"/>
      <c r="AW1245" s="1"/>
      <c r="AX1245" s="1"/>
      <c r="AY1245" s="1"/>
      <c r="AZ1245" s="1"/>
      <c r="BA1245" s="1"/>
      <c r="BB1245" s="1"/>
      <c r="BC1245" s="1"/>
      <c r="BD1245" s="1"/>
      <c r="BE1245" s="1"/>
      <c r="BF1245" s="1"/>
      <c r="BG1245" s="1"/>
      <c r="BH1245" s="1"/>
      <c r="BI1245" s="1"/>
      <c r="BJ1245" s="1"/>
      <c r="BK1245" s="1"/>
      <c r="BL1245" s="1"/>
      <c r="BM1245" s="1"/>
      <c r="BN1245" s="1"/>
      <c r="BO1245" s="1"/>
    </row>
    <row r="1246" spans="5:67" x14ac:dyDescent="0.25"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62"/>
      <c r="W1246" s="1"/>
      <c r="X1246" s="1"/>
      <c r="Y1246" s="1"/>
      <c r="Z1246" s="1"/>
      <c r="AA1246" s="1"/>
      <c r="AB1246" s="1"/>
      <c r="AC1246" s="1"/>
      <c r="AD1246" s="1"/>
      <c r="AE1246" s="1"/>
      <c r="AF1246" s="1"/>
      <c r="AG1246" s="1"/>
      <c r="AH1246" s="1"/>
      <c r="AI1246" s="1"/>
      <c r="AJ1246" s="1"/>
      <c r="AK1246" s="1"/>
      <c r="AL1246" s="1"/>
      <c r="AM1246" s="1"/>
      <c r="AN1246" s="1"/>
      <c r="AO1246" s="1"/>
      <c r="AP1246" s="1"/>
      <c r="AQ1246" s="1"/>
      <c r="AR1246" s="1"/>
      <c r="AS1246" s="1"/>
      <c r="AT1246" s="1"/>
      <c r="AU1246" s="1"/>
      <c r="AV1246" s="1"/>
      <c r="AW1246" s="1"/>
      <c r="AX1246" s="1"/>
      <c r="AY1246" s="1"/>
      <c r="AZ1246" s="1"/>
      <c r="BA1246" s="1"/>
      <c r="BB1246" s="1"/>
      <c r="BC1246" s="1"/>
      <c r="BD1246" s="1"/>
      <c r="BE1246" s="1"/>
      <c r="BF1246" s="1"/>
      <c r="BG1246" s="1"/>
      <c r="BH1246" s="1"/>
      <c r="BI1246" s="1"/>
      <c r="BJ1246" s="1"/>
      <c r="BK1246" s="1"/>
      <c r="BL1246" s="1"/>
      <c r="BM1246" s="1"/>
      <c r="BN1246" s="1"/>
      <c r="BO1246" s="1"/>
    </row>
    <row r="1247" spans="5:67" x14ac:dyDescent="0.25"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62"/>
      <c r="W1247" s="1"/>
      <c r="X1247" s="1"/>
      <c r="Y1247" s="1"/>
      <c r="Z1247" s="1"/>
      <c r="AA1247" s="1"/>
      <c r="AB1247" s="1"/>
      <c r="AC1247" s="1"/>
      <c r="AD1247" s="1"/>
      <c r="AE1247" s="1"/>
      <c r="AF1247" s="1"/>
      <c r="AG1247" s="1"/>
      <c r="AH1247" s="1"/>
      <c r="AI1247" s="1"/>
      <c r="AJ1247" s="1"/>
      <c r="AK1247" s="1"/>
      <c r="AL1247" s="1"/>
      <c r="AM1247" s="1"/>
      <c r="AN1247" s="1"/>
      <c r="AO1247" s="1"/>
      <c r="AP1247" s="1"/>
      <c r="AQ1247" s="1"/>
      <c r="AR1247" s="1"/>
      <c r="AS1247" s="1"/>
      <c r="AT1247" s="1"/>
      <c r="AU1247" s="1"/>
      <c r="AV1247" s="1"/>
      <c r="AW1247" s="1"/>
      <c r="AX1247" s="1"/>
      <c r="AY1247" s="1"/>
      <c r="AZ1247" s="1"/>
      <c r="BA1247" s="1"/>
      <c r="BB1247" s="1"/>
      <c r="BC1247" s="1"/>
      <c r="BD1247" s="1"/>
      <c r="BE1247" s="1"/>
      <c r="BF1247" s="1"/>
      <c r="BG1247" s="1"/>
      <c r="BH1247" s="1"/>
      <c r="BI1247" s="1"/>
      <c r="BJ1247" s="1"/>
      <c r="BK1247" s="1"/>
      <c r="BL1247" s="1"/>
      <c r="BM1247" s="1"/>
      <c r="BN1247" s="1"/>
      <c r="BO1247" s="1"/>
    </row>
    <row r="1248" spans="5:67" x14ac:dyDescent="0.25"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62"/>
      <c r="W1248" s="1"/>
      <c r="X1248" s="1"/>
      <c r="Y1248" s="1"/>
      <c r="Z1248" s="1"/>
      <c r="AA1248" s="1"/>
      <c r="AB1248" s="1"/>
      <c r="AC1248" s="1"/>
      <c r="AD1248" s="1"/>
      <c r="AE1248" s="1"/>
      <c r="AF1248" s="1"/>
      <c r="AG1248" s="1"/>
      <c r="AH1248" s="1"/>
      <c r="AI1248" s="1"/>
      <c r="AJ1248" s="1"/>
      <c r="AK1248" s="1"/>
      <c r="AL1248" s="1"/>
      <c r="AM1248" s="1"/>
      <c r="AN1248" s="1"/>
      <c r="AO1248" s="1"/>
      <c r="AP1248" s="1"/>
      <c r="AQ1248" s="1"/>
      <c r="AR1248" s="1"/>
      <c r="AS1248" s="1"/>
      <c r="AT1248" s="1"/>
      <c r="AU1248" s="1"/>
      <c r="AV1248" s="1"/>
      <c r="AW1248" s="1"/>
      <c r="AX1248" s="1"/>
      <c r="AY1248" s="1"/>
      <c r="AZ1248" s="1"/>
      <c r="BA1248" s="1"/>
      <c r="BB1248" s="1"/>
      <c r="BC1248" s="1"/>
      <c r="BD1248" s="1"/>
      <c r="BE1248" s="1"/>
      <c r="BF1248" s="1"/>
      <c r="BG1248" s="1"/>
      <c r="BH1248" s="1"/>
      <c r="BI1248" s="1"/>
      <c r="BJ1248" s="1"/>
      <c r="BK1248" s="1"/>
      <c r="BL1248" s="1"/>
      <c r="BM1248" s="1"/>
      <c r="BN1248" s="1"/>
      <c r="BO1248" s="1"/>
    </row>
    <row r="1249" spans="5:67" x14ac:dyDescent="0.25"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62"/>
      <c r="W1249" s="1"/>
      <c r="X1249" s="1"/>
      <c r="Y1249" s="1"/>
      <c r="Z1249" s="1"/>
      <c r="AA1249" s="1"/>
      <c r="AB1249" s="1"/>
      <c r="AC1249" s="1"/>
      <c r="AD1249" s="1"/>
      <c r="AE1249" s="1"/>
      <c r="AF1249" s="1"/>
      <c r="AG1249" s="1"/>
      <c r="AH1249" s="1"/>
      <c r="AI1249" s="1"/>
      <c r="AJ1249" s="1"/>
      <c r="AK1249" s="1"/>
      <c r="AL1249" s="1"/>
      <c r="AM1249" s="1"/>
      <c r="AN1249" s="1"/>
      <c r="AO1249" s="1"/>
      <c r="AP1249" s="1"/>
      <c r="AQ1249" s="1"/>
      <c r="AR1249" s="1"/>
      <c r="AS1249" s="1"/>
      <c r="AT1249" s="1"/>
      <c r="AU1249" s="1"/>
      <c r="AV1249" s="1"/>
      <c r="AW1249" s="1"/>
      <c r="AX1249" s="1"/>
      <c r="AY1249" s="1"/>
      <c r="AZ1249" s="1"/>
      <c r="BA1249" s="1"/>
      <c r="BB1249" s="1"/>
      <c r="BC1249" s="1"/>
      <c r="BD1249" s="1"/>
      <c r="BE1249" s="1"/>
      <c r="BF1249" s="1"/>
      <c r="BG1249" s="1"/>
      <c r="BH1249" s="1"/>
      <c r="BI1249" s="1"/>
      <c r="BJ1249" s="1"/>
      <c r="BK1249" s="1"/>
      <c r="BL1249" s="1"/>
      <c r="BM1249" s="1"/>
      <c r="BN1249" s="1"/>
      <c r="BO1249" s="1"/>
    </row>
    <row r="1250" spans="5:67" x14ac:dyDescent="0.25"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62"/>
      <c r="W1250" s="1"/>
      <c r="X1250" s="1"/>
      <c r="Y1250" s="1"/>
      <c r="Z1250" s="1"/>
      <c r="AA1250" s="1"/>
      <c r="AB1250" s="1"/>
      <c r="AC1250" s="1"/>
      <c r="AD1250" s="1"/>
      <c r="AE1250" s="1"/>
      <c r="AF1250" s="1"/>
      <c r="AG1250" s="1"/>
      <c r="AH1250" s="1"/>
      <c r="AI1250" s="1"/>
      <c r="AJ1250" s="1"/>
      <c r="AK1250" s="1"/>
      <c r="AL1250" s="1"/>
      <c r="AM1250" s="1"/>
      <c r="AN1250" s="1"/>
      <c r="AO1250" s="1"/>
      <c r="AP1250" s="1"/>
      <c r="AQ1250" s="1"/>
      <c r="AR1250" s="1"/>
      <c r="AS1250" s="1"/>
      <c r="AT1250" s="1"/>
      <c r="AU1250" s="1"/>
      <c r="AV1250" s="1"/>
      <c r="AW1250" s="1"/>
      <c r="AX1250" s="1"/>
      <c r="AY1250" s="1"/>
      <c r="AZ1250" s="1"/>
      <c r="BA1250" s="1"/>
      <c r="BB1250" s="1"/>
      <c r="BC1250" s="1"/>
      <c r="BD1250" s="1"/>
      <c r="BE1250" s="1"/>
      <c r="BF1250" s="1"/>
      <c r="BG1250" s="1"/>
      <c r="BH1250" s="1"/>
      <c r="BI1250" s="1"/>
      <c r="BJ1250" s="1"/>
      <c r="BK1250" s="1"/>
      <c r="BL1250" s="1"/>
      <c r="BM1250" s="1"/>
      <c r="BN1250" s="1"/>
      <c r="BO1250" s="1"/>
    </row>
  </sheetData>
  <sheetProtection algorithmName="SHA-512" hashValue="ryEuwneV8oCbrjusDWfxVF6o+uQgVrtd1bCe/KibuDcyKN3mFUs0AoCFYAj3j77aqJsqh4Ts0NMueucD17XI8g==" saltValue="UTB04WOtaS09WPF33syLng==" spinCount="100000" sheet="1" scenarios="1" formatCells="0" formatColumns="0" formatRows="0" insertHyperlinks="0"/>
  <pageMargins left="0.75" right="0.75" top="1" bottom="1" header="0.5" footer="0.5"/>
  <pageSetup scale="86" fitToHeight="0" orientation="portrait" blackAndWhite="1" r:id="rId1"/>
  <headerFooter>
    <oddHeader>&amp;R&amp;"Arial,Regular"&amp;10&amp;D
&amp;T</oddHeader>
    <oddFooter>&amp;R&amp;"Arial,Regular"&amp;10&amp;P of &amp;N</oddFooter>
  </headerFooter>
  <rowBreaks count="7" manualBreakCount="7">
    <brk id="170" max="16" man="1"/>
    <brk id="277" max="16" man="1"/>
    <brk id="405" max="16" man="1"/>
    <brk id="526" max="16" man="1"/>
    <brk id="607" max="16" man="1"/>
    <brk id="1001" max="16" man="1"/>
    <brk id="111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"/>
  <sheetViews>
    <sheetView topLeftCell="A2" workbookViewId="0"/>
  </sheetViews>
  <sheetFormatPr defaultRowHeight="15" x14ac:dyDescent="0.25"/>
  <sheetData>
    <row r="1" spans="1:2" hidden="1" x14ac:dyDescent="0.25">
      <c r="A1" s="53" t="s">
        <v>2562</v>
      </c>
      <c r="B1" s="53" t="s">
        <v>2862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A79"/>
  <sheetViews>
    <sheetView showGridLines="0" workbookViewId="0"/>
  </sheetViews>
  <sheetFormatPr defaultRowHeight="15" outlineLevelRow="1" x14ac:dyDescent="0.25"/>
  <cols>
    <col min="1" max="1" width="8.85546875" customWidth="1"/>
    <col min="8" max="8" width="5.85546875" customWidth="1"/>
    <col min="10" max="10" width="15.85546875" customWidth="1"/>
    <col min="257" max="257" width="8.85546875" customWidth="1"/>
    <col min="264" max="264" width="5.85546875" customWidth="1"/>
    <col min="266" max="266" width="15.85546875" customWidth="1"/>
    <col min="513" max="513" width="8.85546875" customWidth="1"/>
    <col min="520" max="520" width="5.85546875" customWidth="1"/>
    <col min="522" max="522" width="15.85546875" customWidth="1"/>
    <col min="769" max="769" width="8.85546875" customWidth="1"/>
    <col min="776" max="776" width="5.85546875" customWidth="1"/>
    <col min="778" max="778" width="15.85546875" customWidth="1"/>
    <col min="1025" max="1025" width="8.85546875" customWidth="1"/>
    <col min="1032" max="1032" width="5.85546875" customWidth="1"/>
    <col min="1034" max="1034" width="15.85546875" customWidth="1"/>
    <col min="1281" max="1281" width="8.85546875" customWidth="1"/>
    <col min="1288" max="1288" width="5.85546875" customWidth="1"/>
    <col min="1290" max="1290" width="15.85546875" customWidth="1"/>
    <col min="1537" max="1537" width="8.85546875" customWidth="1"/>
    <col min="1544" max="1544" width="5.85546875" customWidth="1"/>
    <col min="1546" max="1546" width="15.85546875" customWidth="1"/>
    <col min="1793" max="1793" width="8.85546875" customWidth="1"/>
    <col min="1800" max="1800" width="5.85546875" customWidth="1"/>
    <col min="1802" max="1802" width="15.85546875" customWidth="1"/>
    <col min="2049" max="2049" width="8.85546875" customWidth="1"/>
    <col min="2056" max="2056" width="5.85546875" customWidth="1"/>
    <col min="2058" max="2058" width="15.85546875" customWidth="1"/>
    <col min="2305" max="2305" width="8.85546875" customWidth="1"/>
    <col min="2312" max="2312" width="5.85546875" customWidth="1"/>
    <col min="2314" max="2314" width="15.85546875" customWidth="1"/>
    <col min="2561" max="2561" width="8.85546875" customWidth="1"/>
    <col min="2568" max="2568" width="5.85546875" customWidth="1"/>
    <col min="2570" max="2570" width="15.85546875" customWidth="1"/>
    <col min="2817" max="2817" width="8.85546875" customWidth="1"/>
    <col min="2824" max="2824" width="5.85546875" customWidth="1"/>
    <col min="2826" max="2826" width="15.85546875" customWidth="1"/>
    <col min="3073" max="3073" width="8.85546875" customWidth="1"/>
    <col min="3080" max="3080" width="5.85546875" customWidth="1"/>
    <col min="3082" max="3082" width="15.85546875" customWidth="1"/>
    <col min="3329" max="3329" width="8.85546875" customWidth="1"/>
    <col min="3336" max="3336" width="5.85546875" customWidth="1"/>
    <col min="3338" max="3338" width="15.85546875" customWidth="1"/>
    <col min="3585" max="3585" width="8.85546875" customWidth="1"/>
    <col min="3592" max="3592" width="5.85546875" customWidth="1"/>
    <col min="3594" max="3594" width="15.85546875" customWidth="1"/>
    <col min="3841" max="3841" width="8.85546875" customWidth="1"/>
    <col min="3848" max="3848" width="5.85546875" customWidth="1"/>
    <col min="3850" max="3850" width="15.85546875" customWidth="1"/>
    <col min="4097" max="4097" width="8.85546875" customWidth="1"/>
    <col min="4104" max="4104" width="5.85546875" customWidth="1"/>
    <col min="4106" max="4106" width="15.85546875" customWidth="1"/>
    <col min="4353" max="4353" width="8.85546875" customWidth="1"/>
    <col min="4360" max="4360" width="5.85546875" customWidth="1"/>
    <col min="4362" max="4362" width="15.85546875" customWidth="1"/>
    <col min="4609" max="4609" width="8.85546875" customWidth="1"/>
    <col min="4616" max="4616" width="5.85546875" customWidth="1"/>
    <col min="4618" max="4618" width="15.85546875" customWidth="1"/>
    <col min="4865" max="4865" width="8.85546875" customWidth="1"/>
    <col min="4872" max="4872" width="5.85546875" customWidth="1"/>
    <col min="4874" max="4874" width="15.85546875" customWidth="1"/>
    <col min="5121" max="5121" width="8.85546875" customWidth="1"/>
    <col min="5128" max="5128" width="5.85546875" customWidth="1"/>
    <col min="5130" max="5130" width="15.85546875" customWidth="1"/>
    <col min="5377" max="5377" width="8.85546875" customWidth="1"/>
    <col min="5384" max="5384" width="5.85546875" customWidth="1"/>
    <col min="5386" max="5386" width="15.85546875" customWidth="1"/>
    <col min="5633" max="5633" width="8.85546875" customWidth="1"/>
    <col min="5640" max="5640" width="5.85546875" customWidth="1"/>
    <col min="5642" max="5642" width="15.85546875" customWidth="1"/>
    <col min="5889" max="5889" width="8.85546875" customWidth="1"/>
    <col min="5896" max="5896" width="5.85546875" customWidth="1"/>
    <col min="5898" max="5898" width="15.85546875" customWidth="1"/>
    <col min="6145" max="6145" width="8.85546875" customWidth="1"/>
    <col min="6152" max="6152" width="5.85546875" customWidth="1"/>
    <col min="6154" max="6154" width="15.85546875" customWidth="1"/>
    <col min="6401" max="6401" width="8.85546875" customWidth="1"/>
    <col min="6408" max="6408" width="5.85546875" customWidth="1"/>
    <col min="6410" max="6410" width="15.85546875" customWidth="1"/>
    <col min="6657" max="6657" width="8.85546875" customWidth="1"/>
    <col min="6664" max="6664" width="5.85546875" customWidth="1"/>
    <col min="6666" max="6666" width="15.85546875" customWidth="1"/>
    <col min="6913" max="6913" width="8.85546875" customWidth="1"/>
    <col min="6920" max="6920" width="5.85546875" customWidth="1"/>
    <col min="6922" max="6922" width="15.85546875" customWidth="1"/>
    <col min="7169" max="7169" width="8.85546875" customWidth="1"/>
    <col min="7176" max="7176" width="5.85546875" customWidth="1"/>
    <col min="7178" max="7178" width="15.85546875" customWidth="1"/>
    <col min="7425" max="7425" width="8.85546875" customWidth="1"/>
    <col min="7432" max="7432" width="5.85546875" customWidth="1"/>
    <col min="7434" max="7434" width="15.85546875" customWidth="1"/>
    <col min="7681" max="7681" width="8.85546875" customWidth="1"/>
    <col min="7688" max="7688" width="5.85546875" customWidth="1"/>
    <col min="7690" max="7690" width="15.85546875" customWidth="1"/>
    <col min="7937" max="7937" width="8.85546875" customWidth="1"/>
    <col min="7944" max="7944" width="5.85546875" customWidth="1"/>
    <col min="7946" max="7946" width="15.85546875" customWidth="1"/>
    <col min="8193" max="8193" width="8.85546875" customWidth="1"/>
    <col min="8200" max="8200" width="5.85546875" customWidth="1"/>
    <col min="8202" max="8202" width="15.85546875" customWidth="1"/>
    <col min="8449" max="8449" width="8.85546875" customWidth="1"/>
    <col min="8456" max="8456" width="5.85546875" customWidth="1"/>
    <col min="8458" max="8458" width="15.85546875" customWidth="1"/>
    <col min="8705" max="8705" width="8.85546875" customWidth="1"/>
    <col min="8712" max="8712" width="5.85546875" customWidth="1"/>
    <col min="8714" max="8714" width="15.85546875" customWidth="1"/>
    <col min="8961" max="8961" width="8.85546875" customWidth="1"/>
    <col min="8968" max="8968" width="5.85546875" customWidth="1"/>
    <col min="8970" max="8970" width="15.85546875" customWidth="1"/>
    <col min="9217" max="9217" width="8.85546875" customWidth="1"/>
    <col min="9224" max="9224" width="5.85546875" customWidth="1"/>
    <col min="9226" max="9226" width="15.85546875" customWidth="1"/>
    <col min="9473" max="9473" width="8.85546875" customWidth="1"/>
    <col min="9480" max="9480" width="5.85546875" customWidth="1"/>
    <col min="9482" max="9482" width="15.85546875" customWidth="1"/>
    <col min="9729" max="9729" width="8.85546875" customWidth="1"/>
    <col min="9736" max="9736" width="5.85546875" customWidth="1"/>
    <col min="9738" max="9738" width="15.85546875" customWidth="1"/>
    <col min="9985" max="9985" width="8.85546875" customWidth="1"/>
    <col min="9992" max="9992" width="5.85546875" customWidth="1"/>
    <col min="9994" max="9994" width="15.85546875" customWidth="1"/>
    <col min="10241" max="10241" width="8.85546875" customWidth="1"/>
    <col min="10248" max="10248" width="5.85546875" customWidth="1"/>
    <col min="10250" max="10250" width="15.85546875" customWidth="1"/>
    <col min="10497" max="10497" width="8.85546875" customWidth="1"/>
    <col min="10504" max="10504" width="5.85546875" customWidth="1"/>
    <col min="10506" max="10506" width="15.85546875" customWidth="1"/>
    <col min="10753" max="10753" width="8.85546875" customWidth="1"/>
    <col min="10760" max="10760" width="5.85546875" customWidth="1"/>
    <col min="10762" max="10762" width="15.85546875" customWidth="1"/>
    <col min="11009" max="11009" width="8.85546875" customWidth="1"/>
    <col min="11016" max="11016" width="5.85546875" customWidth="1"/>
    <col min="11018" max="11018" width="15.85546875" customWidth="1"/>
    <col min="11265" max="11265" width="8.85546875" customWidth="1"/>
    <col min="11272" max="11272" width="5.85546875" customWidth="1"/>
    <col min="11274" max="11274" width="15.85546875" customWidth="1"/>
    <col min="11521" max="11521" width="8.85546875" customWidth="1"/>
    <col min="11528" max="11528" width="5.85546875" customWidth="1"/>
    <col min="11530" max="11530" width="15.85546875" customWidth="1"/>
    <col min="11777" max="11777" width="8.85546875" customWidth="1"/>
    <col min="11784" max="11784" width="5.85546875" customWidth="1"/>
    <col min="11786" max="11786" width="15.85546875" customWidth="1"/>
    <col min="12033" max="12033" width="8.85546875" customWidth="1"/>
    <col min="12040" max="12040" width="5.85546875" customWidth="1"/>
    <col min="12042" max="12042" width="15.85546875" customWidth="1"/>
    <col min="12289" max="12289" width="8.85546875" customWidth="1"/>
    <col min="12296" max="12296" width="5.85546875" customWidth="1"/>
    <col min="12298" max="12298" width="15.85546875" customWidth="1"/>
    <col min="12545" max="12545" width="8.85546875" customWidth="1"/>
    <col min="12552" max="12552" width="5.85546875" customWidth="1"/>
    <col min="12554" max="12554" width="15.85546875" customWidth="1"/>
    <col min="12801" max="12801" width="8.85546875" customWidth="1"/>
    <col min="12808" max="12808" width="5.85546875" customWidth="1"/>
    <col min="12810" max="12810" width="15.85546875" customWidth="1"/>
    <col min="13057" max="13057" width="8.85546875" customWidth="1"/>
    <col min="13064" max="13064" width="5.85546875" customWidth="1"/>
    <col min="13066" max="13066" width="15.85546875" customWidth="1"/>
    <col min="13313" max="13313" width="8.85546875" customWidth="1"/>
    <col min="13320" max="13320" width="5.85546875" customWidth="1"/>
    <col min="13322" max="13322" width="15.85546875" customWidth="1"/>
    <col min="13569" max="13569" width="8.85546875" customWidth="1"/>
    <col min="13576" max="13576" width="5.85546875" customWidth="1"/>
    <col min="13578" max="13578" width="15.85546875" customWidth="1"/>
    <col min="13825" max="13825" width="8.85546875" customWidth="1"/>
    <col min="13832" max="13832" width="5.85546875" customWidth="1"/>
    <col min="13834" max="13834" width="15.85546875" customWidth="1"/>
    <col min="14081" max="14081" width="8.85546875" customWidth="1"/>
    <col min="14088" max="14088" width="5.85546875" customWidth="1"/>
    <col min="14090" max="14090" width="15.85546875" customWidth="1"/>
    <col min="14337" max="14337" width="8.85546875" customWidth="1"/>
    <col min="14344" max="14344" width="5.85546875" customWidth="1"/>
    <col min="14346" max="14346" width="15.85546875" customWidth="1"/>
    <col min="14593" max="14593" width="8.85546875" customWidth="1"/>
    <col min="14600" max="14600" width="5.85546875" customWidth="1"/>
    <col min="14602" max="14602" width="15.85546875" customWidth="1"/>
    <col min="14849" max="14849" width="8.85546875" customWidth="1"/>
    <col min="14856" max="14856" width="5.85546875" customWidth="1"/>
    <col min="14858" max="14858" width="15.85546875" customWidth="1"/>
    <col min="15105" max="15105" width="8.85546875" customWidth="1"/>
    <col min="15112" max="15112" width="5.85546875" customWidth="1"/>
    <col min="15114" max="15114" width="15.85546875" customWidth="1"/>
    <col min="15361" max="15361" width="8.85546875" customWidth="1"/>
    <col min="15368" max="15368" width="5.85546875" customWidth="1"/>
    <col min="15370" max="15370" width="15.85546875" customWidth="1"/>
    <col min="15617" max="15617" width="8.85546875" customWidth="1"/>
    <col min="15624" max="15624" width="5.85546875" customWidth="1"/>
    <col min="15626" max="15626" width="15.85546875" customWidth="1"/>
    <col min="15873" max="15873" width="8.85546875" customWidth="1"/>
    <col min="15880" max="15880" width="5.85546875" customWidth="1"/>
    <col min="15882" max="15882" width="15.85546875" customWidth="1"/>
    <col min="16129" max="16129" width="8.85546875" customWidth="1"/>
    <col min="16136" max="16136" width="5.85546875" customWidth="1"/>
    <col min="16138" max="16138" width="15.85546875" customWidth="1"/>
  </cols>
  <sheetData>
    <row r="1" spans="1:1" x14ac:dyDescent="0.25">
      <c r="A1" t="s">
        <v>26</v>
      </c>
    </row>
    <row r="3" spans="1:1" ht="17.25" customHeight="1" collapsed="1" x14ac:dyDescent="0.25">
      <c r="A3" s="67" t="s">
        <v>25</v>
      </c>
    </row>
    <row r="4" spans="1:1" ht="60" hidden="1" customHeight="1" outlineLevel="1" x14ac:dyDescent="0.25">
      <c r="A4" s="67"/>
    </row>
    <row r="5" spans="1:1" ht="12.75" customHeight="1" x14ac:dyDescent="0.25"/>
    <row r="6" spans="1:1" ht="17.25" customHeight="1" collapsed="1" x14ac:dyDescent="0.25">
      <c r="A6" s="67" t="s">
        <v>24</v>
      </c>
    </row>
    <row r="7" spans="1:1" ht="60" hidden="1" customHeight="1" outlineLevel="1" x14ac:dyDescent="0.25">
      <c r="A7" s="67"/>
    </row>
    <row r="9" spans="1:1" ht="17.25" customHeight="1" collapsed="1" x14ac:dyDescent="0.25">
      <c r="A9" s="67" t="s">
        <v>23</v>
      </c>
    </row>
    <row r="10" spans="1:1" ht="60" hidden="1" customHeight="1" outlineLevel="1" x14ac:dyDescent="0.25">
      <c r="A10" s="67"/>
    </row>
    <row r="12" spans="1:1" ht="17.25" customHeight="1" collapsed="1" x14ac:dyDescent="0.25">
      <c r="A12" s="67" t="s">
        <v>22</v>
      </c>
    </row>
    <row r="13" spans="1:1" ht="60" hidden="1" customHeight="1" outlineLevel="1" x14ac:dyDescent="0.25">
      <c r="A13" s="67"/>
    </row>
    <row r="15" spans="1:1" ht="17.25" customHeight="1" collapsed="1" x14ac:dyDescent="0.25">
      <c r="A15" s="67" t="s">
        <v>21</v>
      </c>
    </row>
    <row r="16" spans="1:1" ht="60" hidden="1" customHeight="1" outlineLevel="1" x14ac:dyDescent="0.25">
      <c r="A16" s="67"/>
    </row>
    <row r="18" spans="1:1" ht="17.25" customHeight="1" collapsed="1" x14ac:dyDescent="0.25">
      <c r="A18" s="67" t="s">
        <v>20</v>
      </c>
    </row>
    <row r="19" spans="1:1" ht="60" hidden="1" customHeight="1" outlineLevel="1" x14ac:dyDescent="0.25">
      <c r="A19" s="67"/>
    </row>
    <row r="21" spans="1:1" ht="17.25" customHeight="1" x14ac:dyDescent="0.25">
      <c r="A21" s="67" t="s">
        <v>19</v>
      </c>
    </row>
    <row r="22" spans="1:1" ht="60" customHeight="1" outlineLevel="1" x14ac:dyDescent="0.25">
      <c r="A22" s="67"/>
    </row>
    <row r="24" spans="1:1" ht="17.25" customHeight="1" x14ac:dyDescent="0.25">
      <c r="A24" s="67" t="s">
        <v>18</v>
      </c>
    </row>
    <row r="25" spans="1:1" ht="60" customHeight="1" outlineLevel="1" x14ac:dyDescent="0.25">
      <c r="A25" s="67"/>
    </row>
    <row r="27" spans="1:1" ht="17.25" customHeight="1" x14ac:dyDescent="0.25">
      <c r="A27" s="67" t="s">
        <v>17</v>
      </c>
    </row>
    <row r="28" spans="1:1" ht="60" customHeight="1" outlineLevel="1" x14ac:dyDescent="0.25">
      <c r="A28" s="67"/>
    </row>
    <row r="30" spans="1:1" ht="17.25" customHeight="1" x14ac:dyDescent="0.25">
      <c r="A30" s="67" t="s">
        <v>16</v>
      </c>
    </row>
    <row r="31" spans="1:1" ht="60" customHeight="1" outlineLevel="1" x14ac:dyDescent="0.25">
      <c r="A31" s="67"/>
    </row>
    <row r="33" spans="1:1" ht="17.25" customHeight="1" x14ac:dyDescent="0.25">
      <c r="A33" s="67" t="s">
        <v>15</v>
      </c>
    </row>
    <row r="34" spans="1:1" ht="60" customHeight="1" outlineLevel="1" x14ac:dyDescent="0.25">
      <c r="A34" s="67"/>
    </row>
    <row r="36" spans="1:1" ht="17.25" customHeight="1" x14ac:dyDescent="0.25">
      <c r="A36" s="67" t="s">
        <v>14</v>
      </c>
    </row>
    <row r="37" spans="1:1" ht="60" customHeight="1" outlineLevel="1" x14ac:dyDescent="0.25">
      <c r="A37" s="67"/>
    </row>
    <row r="39" spans="1:1" ht="17.25" customHeight="1" x14ac:dyDescent="0.25">
      <c r="A39" s="67" t="s">
        <v>13</v>
      </c>
    </row>
    <row r="40" spans="1:1" ht="60" customHeight="1" outlineLevel="1" x14ac:dyDescent="0.25">
      <c r="A40" s="67"/>
    </row>
    <row r="42" spans="1:1" ht="17.25" customHeight="1" x14ac:dyDescent="0.25">
      <c r="A42" s="67" t="s">
        <v>12</v>
      </c>
    </row>
    <row r="43" spans="1:1" ht="60" customHeight="1" outlineLevel="1" x14ac:dyDescent="0.25">
      <c r="A43" s="67"/>
    </row>
    <row r="45" spans="1:1" ht="17.25" customHeight="1" x14ac:dyDescent="0.25">
      <c r="A45" s="67" t="s">
        <v>11</v>
      </c>
    </row>
    <row r="46" spans="1:1" ht="60" customHeight="1" outlineLevel="1" x14ac:dyDescent="0.25">
      <c r="A46" s="67"/>
    </row>
    <row r="48" spans="1:1" ht="17.25" customHeight="1" x14ac:dyDescent="0.25">
      <c r="A48" s="67" t="s">
        <v>10</v>
      </c>
    </row>
    <row r="49" spans="1:1" ht="60" customHeight="1" outlineLevel="1" x14ac:dyDescent="0.25">
      <c r="A49" s="67"/>
    </row>
    <row r="51" spans="1:1" ht="17.25" customHeight="1" x14ac:dyDescent="0.25">
      <c r="A51" s="67" t="s">
        <v>9</v>
      </c>
    </row>
    <row r="52" spans="1:1" ht="60" customHeight="1" outlineLevel="1" x14ac:dyDescent="0.25">
      <c r="A52" s="67"/>
    </row>
    <row r="54" spans="1:1" ht="17.25" customHeight="1" x14ac:dyDescent="0.25">
      <c r="A54" s="67" t="s">
        <v>8</v>
      </c>
    </row>
    <row r="55" spans="1:1" ht="60" customHeight="1" outlineLevel="1" x14ac:dyDescent="0.25">
      <c r="A55" s="67"/>
    </row>
    <row r="57" spans="1:1" ht="17.25" customHeight="1" x14ac:dyDescent="0.25">
      <c r="A57" s="67" t="s">
        <v>7</v>
      </c>
    </row>
    <row r="58" spans="1:1" ht="60" customHeight="1" outlineLevel="1" x14ac:dyDescent="0.25">
      <c r="A58" s="67"/>
    </row>
    <row r="60" spans="1:1" ht="17.25" customHeight="1" x14ac:dyDescent="0.25">
      <c r="A60" s="67" t="s">
        <v>6</v>
      </c>
    </row>
    <row r="61" spans="1:1" ht="60" customHeight="1" outlineLevel="1" x14ac:dyDescent="0.25">
      <c r="A61" s="67"/>
    </row>
    <row r="63" spans="1:1" ht="17.25" customHeight="1" x14ac:dyDescent="0.25">
      <c r="A63" s="67" t="s">
        <v>5</v>
      </c>
    </row>
    <row r="64" spans="1:1" ht="60" customHeight="1" outlineLevel="1" x14ac:dyDescent="0.25">
      <c r="A64" s="67"/>
    </row>
    <row r="66" spans="1:1" ht="17.25" customHeight="1" x14ac:dyDescent="0.25">
      <c r="A66" s="67" t="s">
        <v>4</v>
      </c>
    </row>
    <row r="67" spans="1:1" ht="60" customHeight="1" outlineLevel="1" x14ac:dyDescent="0.25">
      <c r="A67" s="67"/>
    </row>
    <row r="69" spans="1:1" ht="17.25" customHeight="1" x14ac:dyDescent="0.25">
      <c r="A69" s="67" t="s">
        <v>3</v>
      </c>
    </row>
    <row r="70" spans="1:1" ht="60" customHeight="1" outlineLevel="1" x14ac:dyDescent="0.25">
      <c r="A70" s="67"/>
    </row>
    <row r="72" spans="1:1" ht="17.25" customHeight="1" x14ac:dyDescent="0.25">
      <c r="A72" s="67" t="s">
        <v>2</v>
      </c>
    </row>
    <row r="73" spans="1:1" ht="60" customHeight="1" outlineLevel="1" x14ac:dyDescent="0.25">
      <c r="A73" s="67"/>
    </row>
    <row r="75" spans="1:1" ht="17.25" customHeight="1" x14ac:dyDescent="0.25">
      <c r="A75" s="67" t="s">
        <v>1</v>
      </c>
    </row>
    <row r="76" spans="1:1" ht="60" customHeight="1" outlineLevel="1" x14ac:dyDescent="0.25">
      <c r="A76" s="67"/>
    </row>
    <row r="78" spans="1:1" ht="17.25" customHeight="1" x14ac:dyDescent="0.25">
      <c r="A78" s="67" t="s">
        <v>0</v>
      </c>
    </row>
    <row r="79" spans="1:1" ht="60" customHeight="1" outlineLevel="1" x14ac:dyDescent="0.25">
      <c r="A79" s="67"/>
    </row>
  </sheetData>
  <mergeCells count="26">
    <mergeCell ref="A3:A4"/>
    <mergeCell ref="A6:A7"/>
    <mergeCell ref="A9:A10"/>
    <mergeCell ref="A12:A13"/>
    <mergeCell ref="A15:A16"/>
    <mergeCell ref="A36:A37"/>
    <mergeCell ref="A39:A40"/>
    <mergeCell ref="A42:A43"/>
    <mergeCell ref="A45:A46"/>
    <mergeCell ref="A18:A19"/>
    <mergeCell ref="A21:A22"/>
    <mergeCell ref="A24:A25"/>
    <mergeCell ref="A27:A28"/>
    <mergeCell ref="A30:A31"/>
    <mergeCell ref="A33:A34"/>
    <mergeCell ref="A48:A49"/>
    <mergeCell ref="A51:A52"/>
    <mergeCell ref="A75:A76"/>
    <mergeCell ref="A78:A79"/>
    <mergeCell ref="A57:A58"/>
    <mergeCell ref="A60:A61"/>
    <mergeCell ref="A63:A64"/>
    <mergeCell ref="A66:A67"/>
    <mergeCell ref="A69:A70"/>
    <mergeCell ref="A72:A73"/>
    <mergeCell ref="A54:A55"/>
  </mergeCells>
  <printOptions gridLinesSet="0"/>
  <pageMargins left="1" right="1" top="1.25" bottom="1" header="0.5" footer="0.5"/>
  <pageSetup fitToHeight="2" orientation="portrait" horizontalDpi="300" verticalDpi="300" r:id="rId1"/>
  <headerFooter alignWithMargins="0">
    <oddHeader>&amp;R&amp;D
&amp;T</oddHeader>
    <oddFooter>&amp;R&amp;P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instanceXML>H4sIAAAAAAAEAOy9/XLkuHIv+CqM8YZ9vdGaJgB+2j6+LpUodc2UqupWlbpPe2NDodNdM6M9PRItqeecWdNPtn/sI+0rLEiCBAhmAigVMeM/zo0bx9PFFED+EkhkJvLj//t//t9/+Z9//flL8Mvh6fn+8eEP35Bvw2+Cw8Onx8/3Dz/+4ZuvLz+cZd/8z3/9lw+PT38+f3z887/+y9OhfHx6WX99Kb++BA93Px/+8M3s06fHrw8vwdXT49cyuDi83N1/ef7mX//ly92vj19fuj95d7j7fHj6138pnx7Lw9PL/eG5/+9fxUDPL79+OewPP5df7l4O3wS/3H35yn/dKn++qymevwne/uu/vFUH+vT45evPD/1/BOXjM/+Yb4JmxD98M3/88i1p/kp9TgfP6eg5Gzz/30fPI8vz2PI8sTxPLc8zy/Pc8pyENgJiI6A2AhuGxAYisaFIIBjf9gvi6fEv7f92ROpy2j7+5Zvg5Y6v9O1mf/uumF0U2/lyUaz2fPl+Onz5EvBxmoX0Cx/9y/3h4eWf2hfon3EEfvjDN+qf/o9/1EhY8+f1v9tZi5/Ll181msiBJnagSRxoUgeazIEmd6Cp15idiLgQURciF6yJC9jEBW2Cw/2WL7mj1l2xuppdFdfw2isefrz78fCzZf3JIf62Bv+2Bo9ag/NNcTHbF8DS2xye7h8/B8VDrRIAq68Z+pFrEE/3n4UMvmiOb74sxah/W41/W42vkIj7c2A57p/u774E53df7h4+HUzCcH/+t2X3t2X3imX3Yb39fjPbFFtg9dV2UHnHzQ7TyusH+NsC/NsC7Bbg29YQeTs0htt/nT9+/lU1jKWJM7Zo758//8qt5ftPf/jm8u7LMz9nf2rG2h/++tKb4t8Ef7p/aE34/hex+lfc0uZntFj1/b/GprF5oovD86en+/Ll/vFBmWzwq5iw/k1O2P9rbGsrE+6fvmrz3axmF999E7TKCNdFahWjXglvGXlLQxopL8HEVNL0FKdFMy+f9MP955ef+B/n39IcMuqNL6JO9G/dTP/WT7Ur7z4dnrSZIsg1YJzluyLYHn4I/k6ZLfo7MVv9H2K27wpOpU2WfhunkKvBON/su8IN3Kh7iVeBm7qDG3XgRkeDmx0PbtKBm7wC3Nwy39YV3KR7iVeBWwtYV3STDt3kaHQJsUxzuVjNlm4fnIq3SF/3wdT9g9Pug9PjP9gmm8jzS7DZnFm+mylvQ8NQvE7zX6/59iPkFJ/j3+R0x3+/TVj9b+/vnpTpfvj68Kk+Ab69uFhcXv6P/+Rz/tfff3n557//8eWf/zPt//MfO+EZhmH8OgxsUk2V1fUs/6ZO6YQD5EdshuDUt9eHl7vPdy93t/zXW74rfvj65Qv6sGyefBM8wBR8Kf/E7Weuj3YfIn2a/AU62kZffWt6D2p6D9q9B/SG8s1a7aT+zfWdxpryQLNQ1eRfNCVAU44ZqA7XJyygAddHIaD0RqCaG+ljtJptoo/RKrMJrL4m+iBCY01hHTUdkbdf2Wx7SBVtNyikf4p9Ammd3XoeWDsANwcLQ/4MLwlgQVBtBUgbasz/Xu9E+N+ricAaEMoesA7AVSDPc2AtNJoNsBrAtYCM1K6I7WgksSbgFSGOA2hVwGtieIxAiwNeGK34hdaFZUXookL+XAKrBOG8WCX728v7p+cXYCGAKwBku6oiuPIe5Dk6kIH1IMvRgYycx//KyH5FUXBnvjvjOw5Jnve/jNgtN7rYxu2lbsPvQ/2ub+gb9iZ6E79J3qRvsjf5GxK+IeQNoW8Ie0OiNyR+U79Kuzaubv8zSmn4X8OTS/7av1D970r+Xg7fUrxRc8u8OzQqxmgZ7uq/TtL4v4CF2F5P/1Pwf8z+T3BNzu+efwr+/u7n8p+D5j+L//h6/8vdl8PDyzOEp5xK+4D6x0p5Wmqf22kdX//0o+lTZhe3/0mh7+j+sPmUb0OCfw302mJY6J1p1T0s9S9EV8P/XR8/fBXkDftZuzzqhVEvi3pR0GY5JCNVQn4kgz4yJGeEkPAsHB2U4vPeFfPvF6urt7sPRbEJzoJ/X6xX/7ALzmer74Gd8gM/dBptNPyWjxh2Omj7r3/EcGIwTqzqHpYDSH2CFOEgERSkzWJTLBerIths198V833QoTYZQhGMUFR1D8sBmD4RAvd8hxCxIbQt9jN+8F4VwWw+X9+s9pNBhAiIuOoelgM0fUKU4BBRdBHtt8Vs/3aznK32wc3maju7KKZfRwkMUlJ1D8sBnj5Byk0gYeuoAam+eA9aoAbLaTKUchilvOoelgNAfaJEQhym2Cq1uby+2NY3JNPKazLWJhqASFj1j8sBml4hMhxsCQrRstjvOS7ry2C+LS4W++ByvQ3EspoOKORkI+3RRoZnGwltSHGcDAgpkBiOsQxfNT8dPv35/uHHs0YRDG5e7n4C7QdKaNp8N6yWo48tf62i3BN1QPc/4FgjZyRpD0kyPCWJ72OS4Ockw9Wt6/Wq+Bhcz7bfF3u+eRula7rViByRpD0jyfCQJL5PSYIfk5EzQuvGkLieDiPkhCTtEUmGZyTxfUiSFMUodsZoPtss9rNlcDmbL5aLCaVbimCVVv3jcoisV6wyFKvEGauL4nwf7Irt+8V85IV6PVAZAlRW9Y/LIaxegcJVrwTXKTaLYL5erbh5wy3A4LIodtPhgyhcpNW4yFDlauDyiQ8F3QENPqnBUg4ufK0fijkShCeBDvHxrXBlBMUnz3F8Zrt3wWy5XM9n++IiuNyur4MP/D+33GieDKn61SCkMlL1j8shrn6VAFR+5wany+5mtylWuwkFUIyJ6ljI6ngorBug/CIDSmsa/jdwRzXvBqMlBHasSezYu8iOQZndwoUbOYod+O4jtwS5xXy933IhtVnvplQEYkyAx0KCx5oIj33LcH7ko4D9bvp3gtnNiTCck1CDybvtnICyvIHp91TCETHOH1SSoNSQ9QsUqBQ0QP030MQTREPgDypJUGoI+7VccMB+by2heTfYchFwpTpcvjUFGoH+ghqu31RTaN4D1DWj1kvQEpQalpN4rWgEegTYsTrB5WK72wc3+9m74FzXClofVESTlCUGH5aBQNwiR4xkLLY6slS6jgXK4AY+II4I/qCSBKXGOL+uaAq6FSV/CMgfhR09qy4X81ntsp9QBDZvB3ulqXABtiSlBrLfbQ3qbRIyCkL2x8222O2CVhhOfE/WvBK8svJKEpQ6sl5hikFtrYXJcM1xs9uvr4teoZ3OI9G8EAhS3KpqLUGpoeoVI5aBJhNztwHmy/Wu6O476t03IWDN24GI8SeVQlJqIE9zdMSgHttik6LYfCiWyx3XxrZXa9Nm62IJCctjarr5MFCIY4PZ7z46mv7qQxnVsGARlZk/qCRBqTNsIvRBXa9Bn+IH96bY7z82uIN4x2FowBp7av5bFeeOpsO5+7cBY8wPFwtHXEy1Be5by6YxePnJLGZuFJI/N8FX+FXfKbITufXkDypJUGq42laiGSEVElxLOdWkFZuYsCw3LE38OY6p/BsDroiCwx9UkqDUGDHRDsdV8xwH9WZfm7l8jy+L2XYcx9LCeZZwDdm01Q0EYgR++oZ2xBWyDnZlaAPumCoeC1U81lTx2L++BPqVW3bg+tK22N9sV9ysbnQCjCun7HzEzUyFm5lqbuYWOb9I4UpTjitNF+s6GmR2Vd9zTQgPpiIJvzKNdQXJt185yfGT28lLE+zXwXr/juvg8/X1ZrZaTHgt2LwcGK6Wt+dtS1BqAPvFCzxvc1sU7VjHOQUW5HzlDypJUGo4+oUFNHPz/w5Xgs27wXDllSQoNXx9wpWG4Gma099wFTXvAMHCH1SSoNRw9AVLHwN/C5VlytlvhIz6GsZ0g/p5qYGpJxx8/dPL48vdccqWMsEtVJalG9QpJWFkwbKcZukoW4aYHnbuzjBPcounsyHprdZ2OBvK/CMtONcU5Zg5XR7rl7uHP2/1xJS8PjffjmbMIfUkTyvl6WimevojMknqMYYLHOShmlhCES7WNSp+uP9093J4Dh5/CC4O5ePz/Qu6n+FPa/Uu/cty33oFjfDANcJwtWsxD+YX/zChWypCcOEPKklQDmD0K+M49qCMa31VODbdwTgdQOr7GLfFUNi1kNmEnRtOI2Dq7eawf6QMfMXuwXDrIbOhBQmtIV660BIgjoQWvk7GiXw7LJNvp6fyaS9iFV/aW9Tcov3LnIvBwUWriLLV48MBxE0ZQH9x9VGpf6RphWlvDC44+saw5K4sX9UuMOWrXrdortBvvxp/uoqG+Pibh09f7p6f+Uo+fN4frUzIOUBdYi82Ea5FmNI0/7sqF4OPRkGXG/RqjLquVLQkVNuP8ld1ElrJ3/UJlM3okl0Lei767NpzmG3i1HoOtodPB86wP32Bd2U/hfb29Y+V8rTUvvWYrFrQVla1n3NUh3X8jG4a6COo8DYzXa2b7t4DVXKowVgRd0y7YFvMi8X72flSdzGJbZHSHA4wIJbn7d+nUcqsPtGeqHdE96PiSpWuU3WAC5VK8/H5tqYpGvdPEzxnt3Vazd5up9M1kc1EhXNP8+15DxlN0Lw4mhlW59ttcNZ6YSYMT0O2KH9QSYJyCKWxMoJhZ9bD39bD3/Jhb+sIKrEbb78r+FRYmNUUWzZK0zAEw4baehFpAl5jtEUw4owSU0hSxuLMlFgX0ZjGmXXHK2R9QJIcGuShFVGMtwppZR+k1BYMugCa84O/3fMfvnnpNdauVkY6qpHhuDI0T3hb92P2XcG3g14PyMjNts7JtvlDvcZIy+mzmFFil82v4MVYG3kFL6TqYufZ63jU1jNB+dQuAe0a1w5rnIcseh2q/YwweiJ+LIkckZksJJIkaJoENdQSAORVfaddH3mwqhHnJtGDPrb89UCD74h6RaP7wcAQ5ETlDypJUGoc9HudiOZh/NaHKh0lXXT6hki6oHrSReI9cQ5Ouqg9WzTEr6Xr5J35bHuhrNYJPYCjpIsOJpF0QbWkC2pPukgc/VpSSPBJbpmLJsIm0kRoTiloHIgTCH3+OqStX4pxgIGnEjZIqbHVy+ljfg167Kl0FpH49MMeeZXTYYUOewx+b4c91dOQ7LASSjO7smsQC+iiFPGSSoqRHUG/UhWN8TPpAPvZH4teTCzPJwxjwaw5Kqw5qltz3pONqK4sKhAZwiCL681y/bEocGF6CkqINkmFNkkVbVKi5hclMMdIogTnb1zcbGerq3XgFy097ahHS6QdJbGGlndVD05gk2jBqRuXJA79QjVKXuvdbyIKWUtea6HzCxUuoQwVJWqtuIn5KWZX3EC5rhWb2WI1IVKYoEqFoEo1QWXPZTsZKVxQGWpL9EjtZtvZfn01C3abOnJzQjU5xcRVKsRVqomr1Le4SnIDVg6rav2/bhbb7bvgej/dkmreCYKJP6gkQanh6jeYDDQk8pNvIU6JLUOUK/6gkgSlBqtflEBHSh1y9/uhhLg3+INKEpQarJ4j8DI8Au/3AEp9K+NNpR6Qp/g6wAgCtzi8zB6Hd/wdpm6rxzQmRC9s37uYEfudRSFy1x6HNEpHxa3FHQGLGNUVl+H1QEMhc6LqsWyc0S/ax7wZBfFl9iC+NAeD+FLQ7ZVXytPRTEcG8cF5ztrFNRJ4NPvy5fEvdWuN4IfHp+Dika8T/rJBtxbwQDX4q0TqspK4rHznRC5mtFIhNeTe1mHbH2aredEUzjyfXTSlr3SFRPSaoKZce+yp+W/VNdvRdKu2+7fBswyaG3lFhLlBdHPDej45xwzghUSmgjtiqSluAH3c/nUe2zOpOpr+ArEb0mDggVYLX+CiQgkdVSjxabX0mwgNxTydGScdeDl84CliTgvKTKDgnBMi0HOnk+8EITi+Ox/5H7oFCzzpejlko1Ytg0sn/rxfo3wUG+LgQTbAfHSQ5Q7R6HrkmPKzPltOK+XpaKYjDzIWHhmOzlnKYJYuHl4OT4fnF4eALAbduPAPY+2FCxsFqvq3utFALWba5vP59qa4CBarfbEtdhOW4EihCCqOEH9QSYJyiKjnsHSKy8LfHCT1lYxbRBOCqafIdHp0ZPrxGwnDzCkqnSLCa4jVKCqdHh2VHhEwKj0CDH7+Y6U8HU18rFLexG0eKcwimAfLx7sHp9BSKEC2/i7+oJIEpY6EX2GGlhRq9ynsxV88/MIX3c+Hh5eg/vpgdfhL3RJ3QpkG2GUtVCIcIR2GI1B7HO7JgaFoOEKLFOzB3z7+6f7h+fHh7eaO6yy7n+7+0iA2YZwocD42SGUiIiHTIhLsxt7JSKHBCC1SujtBQ2r+09M9X1x8WU2MFCJWqKjnS/WCvpnvOpA0Q2+FWqR0p0yL1HfBeTD/+vzy+PPb7w4//BCcH7483JVTowUolC1awsTKtIsh71V+aYZeDLVo6dq7vq7unvhhOTVMwK1QC5O4Fcr0YGTv+mmG3nS0MOlNMkXJmrunX4NtcHXPf54YIsAb1UIk3FGZdsuR+Q/yR++uW4h0/6m2kj78dP/y5fDr1DgBbqQWJ3FrnWlupMz7rXWGFuppccrMOF08PgTF57/cPX1+nhorvd5Aj5WoopNpVXQy79fWGVpFp8UqN2P1/u7p7jlYPb6YFfjjUAIswxYlYRlmWnZN5r2CDl52sEGJILWGOpTePf44vV6AqeVdqUG90mDmPeE9M2vlBNbKe5S+Ozw/P06uEGAqeSZU8kxTye0lAU+FKTer5ARRydfnxXYfXC3Oz3dBkr2xuKePQynH1PFcqOO5po5n3tXx3KyOE1gdv5i9X1wEl8tiP69z21LyJpsUJ0wZz4UynmvKeO5dGcerV7U4wcr4pm7PMvv34KKYrYKETowSpoSLmlVUr1mVe1fC4ZpVEiVYCR+gxKKJ9xymg4sSVlQrYUX9+4jxaKMWJVgH/269LLhtt5ltt4vduyCeWjZhirgIN6J6uJH32lU0Nyvio0AGUah+X7wvgqvZ9mOQ0jd0UowwJTwXSniuKeHeg41oblbCCayEX3xbfBtc3z3c/Xho/HSLh09v3nYawoR4YYp4LhTxXFPEc++KeG5WxAmsiJ8//co1y/nj4597lN4u7/90eHr5NZj9MiFgmE6eC50813Ty3LtOnpt1cookWgGAxTQPaLqb0BGcY8p5LpTzXFPO/VejgssTSrhg5RyCi5I4KAIWvkxYL3lUoLAHTKjpWoHCFkCvreJDs5o+CiHDAWOUxsHm8WlCI7l5Owgw/qCSBKWGsF/AzBo7hTX28+Wsbor+3frdareeLkqZQfG3LUCkkgSlhqhfgMyqOoVV9Q/F6uJjo4JOCA6iofMHlSQoNTT9gmPW0CmioYvyTOdBsWpqwy3+vQgWq3mwXE+KF6Kr8weVJCg1gP3iZdbVKayrX11vg+VycngQFZ0/qCRBqeHpFx6zik5hFV0YfGcTw4No5/xBJQlKDU+/8Ji1cwpr5zU8s8W/N6vnTZBGaUK/Hd1fnQIUopYzUY+XafV4W+D8AmVWyymslqtABRnLs7p1yYQ4Ido4f1BJglID1i9OZm2cIR0niu1ysQqugvls+X7CwhAMyitpEcoqSVBqkHpFiJj1SQYr4PxQWwS7myJ417hXpkOIYAokEQokCTWEvGvcxKxAMliBFHvtbeOkm1ZwE0yHJEKHJJoOSbzrkMSsQzLc3esLI0yVJEKVJJoqSbyrksSsSjJYlfz+ch7M19vNejtr2rtPDBOmQRKhQRJNgyTeNUhi1iAZrCLV7YGCD8X5lNKaYPojEfoj0fRH4l1/JGb9kZkVpGmtNYLpj0Toj0TTH4l3/ZGY9UdmVosmhgfTGonQGommNRLvWiMxa40RrA1RkgYs3L8LdvttUezf7maz2libEClMbyRCbySa3ki8643ErDdGsFbUemx9IoXpj0Toj0TTH4l//dHswI1gfyRNojzYBctFHT3wMZi9L97u5vOJwUKct/xBJQlKDV2vYFGzsh3BquRyHlzPVrOr4rqYsNssG9Wr7/ChQtWmmqpNvPtqqVnVjoxqZNCrkVMHojTvBUMlNG6qadzUu8ZNzRp3BGuTu30xuw6K1RU3b6+L2cX6wy74u9GxeApSmN5Nhd5NNb2bete74WLnEinYJQkiRRPh2B15ok6BDNPBRZl0RjUdnPrUwftcGXPOWYQGE4xR49Ox+E00DWTq+xnzmoYJaEwtdj5dAlo70dEJaMckP2GAOWSfybczA6Vln3XoHdUTBcykhZowKA9Gc07VEwXJmHTviQLlNw4elfpH/gY9UfCvmrQnCvTtV+NPV9Ew9kRxaoVCLa1QjuypIem6Qi55NortOaWQS0qwnikRi5NRzoNWyKWmkIVc6rEs/Bjv4eGzcsQ/Y8OUWNus8ld1kriSv+sTHNUwJY1AZaVvmHIBM7dOjHx4eXz61SDgdPkS18KtEzKR3uolBjaqKUnfXm7mAq0xZHz7fnTo5ZkoLcP02jLtB01S7IRR3JNkqMu5WL3nNsh6+xHcZVGSRxlcUJfYCERNmYSkzF7lRCHri0jIoQ2q1niJC8SFy4pqLit7dZnTVS1Tej/jqlYOm9A9K4IzH2Ua1Zcz7jBdz4L22KurnbQTWKqduO5BeLmaVqppkdrX53Bp2lDWRfwY55GaZpT0O1jU7zBZv9OFvTbzFHoZ0kTWXS8bt3+Nq8GjUv/I30Avw79qUr0M+var8aeraEzYqw7teysUNKcz/L/hDhx8HYqurmMZO922JHqjW/mrOklayd/1CY5rSgcHHvc6VgHzZ/N0KO/uPz8Lv8b65afDUzB7fj7ABfHkVNpX1D9WytNS++ZjtC5rc7oCFfgf7uqs9O39jz/hBf2Y7m8Rb8+Eu0XvSuc9phcuG1LXQIoNdT2bniXBdnH1br/jKkB3+Dd3D7PrydxTo+IhAi1RO0QrHcKsN6DuxQ9RVLLYDRVQ5JCc0SSEVUxipbCPMShyptD1zXWU3wxVEBHU+YNKEpRDLvn1ooJ3h7TxB9rYsduv598HtcK62098hzGWp+1eFh0PmdbysMXNc70upFBvo9BHeL2uBqW3g229udnO3812UxbszccFe3XprWv0LqW73OsX5g6Ve48Q8Mj+Nm5t46522NDaXrahrSsWY7xH5b8civDmcBHeUcpKM1tXKTHXi/DmryjCCwfEaQc0Un/SpmB040OfIMLbyKhmmfesb/CD66OIkOSMYG1e+DnciLtgs5zx/53Pdu+C8/XqYjLxN7qWFECJW0ntUtJ7hBtc1KuBKce74SwLLuDedpIumPN/b1eL1dXZxWK6YIBRYS+BlKjrpZf18o4U6A+tkcpD/DAVjXF3u2Kiirbdq4DItPe1WmEq/1W8YrTmdW5Q++br7YpjM5+tPq5XwWa73hTb/aLYTbzfYt1t0m24WCQ0x0P/off6VCxEw29es+emU8xC5BjiDypJUGrQ+tVgLcGBSOZksVoVe66LTRt4S/XowA4fKqIDqZ5TYj3k7ApYPc1tPc0tH/621Ucduh4KIlxpxfTUrglpFoE+f3H/xh8YrDFKkb8WWtsZjeHWyypveqKOPXJUrLufGSiMdQppZR+k1NbDa9sqZ/W+MHXxY/HxLZQxtjg18WsmBEGKRRxQPGhvaAFqmiuvGA0ESg2n7sV2tqmPlsX+Y3CxuLriYhI6VcRaT+PctJrx57a/H5ghPVVvifS/GFgC+r1qlgjHV6zFGcWT3TamERpP20IPx9MOT/VtsXtvQj4xtVZAH1v+egi7IJKoJ5bmCs2HQ6DzB5UkKDUuefU2pmgQassL+BzkJswFX/+7/c32vGmwwDfF9WI6V07zWiBSaaujtwSlBq1XjSEGr/8lUkjpAK5MdWt2sdrPvi+m1UKb14I3sogbiKMhUqn3aFRYa2+QMngHz7eL2Sp4V8wuAsW2mRAoRF1nQl1nmrreAucXKFQJzXLDGVRcFtttcRHsZ3+cHCRME42FJhprmqh/TT1G81Ryw2ra3ew2xWoiZ2n/HjA0wrsca4kpse/ElAQv+Wkyj1uv2530uk0BTzKq9SngSUStzyTTzzbf2SgJWgItT7jEznMkP25bbGaLulPGfH1d1JtsOpBGNdA6kEQNtESrgZZ4r/SZwgVfcsKtJGqSQZv1bjGh5ykdlXvpTnxR7iXVyr0k3sudpbA7Jae/OTSI+yQV7pNUc5+kXiu79G52rAHlb4eO+irGaw6966TiPkEvsZyvsBxacB1xBaKbMiwmI0EljXIkWoaO/6a/1wrHj4a3WpygD5WpB7JBD95oDcAf3WjZu3GlFLzRan/WZuM/VsrT0UzH3miBElG70UK6Bs3vnn8Kdl+fng4PfODg/d2Xr2jXmlFVAvEpoigB0ZMi6CS9JPuxwO3bXmOl6PZdfVzyg3FXt5qvrb71cjGHo3/TOIqjzGCDGwjECCTOU2K1wxWybtUqQxviLCkoNgZraSg2iC2z4xUssMuNYxcazAgTD0zw25Efgm7DG5AVGuJ6XCt1kBUMzjdi0AZjXRQtA/bX0bIiTUAVXBMWSIaX0uvp/iG4ebn7KVje/fkQtGENN8+HJ/RWvJkX+jb+oJIEpY7GNA48PBorNtgdN/vZu2BZe0DasJabXbFFwrJimpDIGJZloLCPMTjvFLrelaf8hqtlUFhWywKhlulhWYlPZb5nMhpudCpvTkkdYOPUAX0zajpa4qKjuUtb5pA6cPpORRaycQ0bl6/DytUWrY0JkAQeskGXwMwls0APcFZ+Hs6mPBhNMlVmQXpqZkEKrNbBo1L/yN8gswD/qkkzC6Bvvxp/uoqGNbPANa8gteQVvDJuXd+WEY2yeJTOabeq4nj8V12iJ8lZNqrYOcz0bEmkbdUMZ+HEeLsOn5UjzhnzEPS2oPJXdRJSyd/1CY7LQ0hBD3efh3BpE7eGvINUd1WTugt0UilPS+0bj1DsrGrdpTHPTLx9MPuFH+91InLTYXt3h/cw1fU58TWtNqfpcu3XeY28wqP3SIRqEdc3+5vZMri8WV0E9b1gsF5N54AfVagRCIkCNVp9Gv8dklCAMlzN2j8dnr8+/RqcPz58ng4YXQ/tgOnK0g9jq6zXf85JGXD94rZd94lZAMIGZRkxxgMZCKwjDExZSdbbs/InPDNjVDVZQE9E1WSiVU22u3BOXZZwbAXnCc1jPNvgZrUtZsvFvxcXwVWdNtRcVk+eoEFH8Q/dShXxD1SLfyD22snuqQZcZqKmkUmofSiWy11wOdterYPZfF5nVoGLldI8Jakp7MREIcYgecwcnF4qnYxik6MbXLYtDMaDU+vWroZWTJDy0UxgscROOlxHHvSQxTQdlQAnpoeCHTljkdkJJkg6JojhbPjrWt2YA7rLXLDFmASSgkZY+/NotrRSno5mOtINxmrt6pie75fohcjQ1OZ/83z/+f7u6f6Ap3CO1dfm+1hXAFn/QO9lENGA/shwLkqBy2Vv64bZbNfTxS/oztAOpa4U2/B23nfSA9xKqsHIcHs4xOjiw3SXrKPmUQIe0TtKax1l96WefMGaIuZ+fZRnFD/KPS4j9cWMAmV4gOQuKYNHF1tr5zmu2Nqrpc7r/Cnae5oRGwl8xJo3FY8JQSdcBBhO/MdKeTqa+Ej5z4+84w8A5Gar9d5YXAByUuDD+INKEpQ6FJ4r+ISmYom/S3K0+mLGhaApfqlL9Z5XVEkMX7Nxj1otJ+xX+XpmpEb1d8LjyyTq3jjl5+HkyoPRnFM5zZEin+5O83EVTlINHpX6R/4GTnP8qyZ1mkPffjX+dBWNCcvxEIvb3NHN+t/VcBp8JAqy7g1HypaquCWgN1z3KyeV/F2f4DhvOJwT3XvDv8duNx7Lplnq3cPnoPiPr/dlzTJc4RilNydV/WOlPC21zz0q4sEaHvU9ar0PPuVg+pR+KuhL+INKEpT6t5+eGJnc1kPd8vFvG3dmc3Me44mRChH43bOb/XoX1Ekz++3N/Hsk6oExSlKKJ0ee5XnKTBUVCWU0QiomijkIDfko9qgIha6/YFZGxxIlzcBhvFRIK/sgpbZAvCRKml/DkECpXwEmAvfwtRmU1jc5HdVB9qUFfW9pqWnCjkX1jMOK7QinzNRmThg/VkkCF2x8J/enSWSUPASrhXC9uakti+J/3Sw2k7rzmzeCwYsqSVBqaPsFCb+SqkFCGm6/K2bvP3pBSLdQe4TiShKUGqRefZPmVYS0sF1fXi7mRXB5s10t9jfbCbOqkCXERPKivoD8Z5th8CQG272peBDs1vz/cJBm88Vy0dQbOQvmN8vpsEIWE+vyF4cuSu8rCbtp5FCR46FabCds1qbfM3ZIicZIeibaVDfiDA0KSAxO7RaSM1EYyrJ8xLV2kuaJMboeJ7COMLgYl2T9xbj8CWeAHpLQMUDUe9HqRFqDNVwZEKFhKzUDXGtz3WyutrMLpH4JzRMSEVBL77VwA0k3ShRHcWrHf0AoFXFlApQHI7ev4EHUxstEWj+nSZJLmoFRC6nmAcWKEC32+2URvJ8tl8XHYD9bfQ/CnyVhlMP348RGYB1BBV4h62BXfsJBR6ycqL2LjIb2i90dfYy1GpHbDmVmquKjEIGs2H3c7YvrbhfsgnHpNeHkSbjSGcaJwWClaZYZIyLiPOM2r4lfNA6zJGH2rTIg7IMi1Aks5hWMH8JNhbKyDlEO14c/E0qvUaGaUHC4q4FFbhbUqP5Ep+KK+hOpUn/CCpRZAB3juYkjOQFx2QyI/bQ9fH3u4vw3T4//1+HTC7IZKAtT0LEiOsiQOAoTArtexMERZjRKjBWBDBSDY0Oh608N5TebowFGD2OzQlrZBym1tfO63RBz5TU17wa9z0zWMrTZDHpZGwceOW2HUQuaTmK0DssI9LQgQE2TqwWXz+jmi5Az4P1iuZwFF/xAbv6jjoGDlz3LsyQ2lmwzUNjHGAh4ha6X78pvBhmlB3f0izetJEE55KJP2ykCi4/1TEFk0bvFxUWx6nSk+Rxiy+uNpghxhUWtJyxi2t61RlG5pxMaJXPsVOUT1xgpDTNmErsmCvsYA6VRoeu1RuU3g6MI9Y6TShKUQ2ZNo66jDqEa/AQBf7gUUfEQZSE/3k36uonCPsYgvUah63NslN/whY9oMFGrwES6D2oy2RwZRLPNgwK6C8Y+lO5mKY6T3FgRz0BhH2Ogeih0veqh/IazARHSUSujI01EW91bzlzA/ViG3mcdF7bFrti+Xy+2HSc+nmFOG5JwAzI0eg4MFPYxBlxQ6HouKL/hXEBcZyJCXwvQjyY7BCLcdcbsewHgArYXajWdEJNIMlHYxxhqLJJOaizyN5wLiP8sav1n0dB/Zq996MqFGPefMbyAdC3+g8X1Zrt+33Qlh6+3M0JS41FgIBA+yyiJHTL6FbL+EJZDo5jHiL8sbv1l8dBfFk3mL4PrSnaYYz7L3Tt+9K4/NEcvjDeLYgI7Z7oIHpzAOsKgu5Yk66N55E843sixK/wGWtnKeLK0NbymfGIobd1JmuViZb3i6TKCI0byyKT7GCjsYwxTiyVdr/sov+FMQO6URE1MrSSmvSKmMxPAvOCOCdii3yw2RcsBk4uehiw2dx41UdjHGEh4ha6X8MpvOPDjKLMW+LbOplZm03uVTYOXIMKd9vPF5mzz9enTT3fPh8/B8v7h8AxoP683STG7XZjtmtVur7fpvDpxlTCyKyNjEYHpIhzbJIxNdW5MFPYxVOBVug5+9TecCYhGGLcaYTzUCF3cAm7B4tJBFme3HfbEerHREmHLtW9OcNGwaYeqiSxMMm49Gvy5BorXrXjbByNMUCgr6xDlkK3efK+UGxtHe19dETW0QEoQsVo/qRQS3QeLwIXi47x26/n6oanL6jUI28D5NiLiX2GIJKU0o1EGqnYtL6IkzEMkTlREGBBGY+TmSGyhLGdZZr+4U+n6IANldMtmwRBGl4FCWzkMU+rL67XXdw6xpuBLGIJNsTu9LAV1RvseNPH9iEhV7Dum4Al0hYIyz3NsMDivIYwV7q7CR4mweJFTQUec+seCDkXBotzxdr+tXxSo0I7uTETgNQ1zpMyo05GCOeaFX15xyzsg6Df0FTepDIX/zm8Wy4vF6mrCctXYGZyKIzhNhsbNdA51PYJcgwC5Vtvt19vZVa+yw/Vs86Q+MQ3noYHAOoKKtULWAa78hK9TZKOLOPZEu70zH2RHYY66r0zNPubr1f64kMcoi5nxotlAYB1heI/Uk8lrpP4nnAGIO0vEwmuh8N4j4RPUoE8N0bkNW8ZMmTI2N0Fs+qS16ZOhTW+Ph3dep6hNnxpic8U6PeaWJ2IsNXb9wgmsIwyueCRZf8MjfzI06kDw79p0DPGf7pYfNXpSw2Vng/8IfWRRtvDFWZIiRiSxEVhHUBmgkHUMUH7Cz0fsql/c9A9tDnvN4KMSGtuwu5RZGj0qRKZt4e4MpyRjcQJ3s2sVNZaaw4j4AHkUGeOI+EpiLiWfB4S911adwBYfB8KIMFWhrKxDlMNl4i9S1GBUJsfxxy1MFMtTFIm8YFwcDNF0m4GK8YnLZrDIqGPcvixhYRyC61QY8JbNwBKapEavMKeIQniKoe9Foesv75TRbRsBhBBhtEJZWYcoh0vHY8j0sRsBZ45jwDQWi1j1j0c7AcbIb2NIdCsYbkmbrTC/2e2D66JOOpXbYTrzEovlFKGcQ/0xnSy3K0X1x8xg5zSNMs/aMly7dwXcrTSrP9gUGIE+t/39IDixp+qjIvpfcLQRbTEVXSaG2qL3ynoEblfacMGgxQsuXBTvi+V62hRfMupUKhAiolMp0TuVem9USsGVWue/RQaV7mIxD4aZP5Nh1LwRmA5IRUIm1eq++u9RCtdvbop0Gbxll4s/Fhdtz83pJBobFXDu4RHpkloJ5xauaTJWGdr/9/R6JjSJjQFfBgLrCMMkyZ5Mpkj2P+G4M2Tr8geVJCg1Rk2mf/Lhb3ugTTlKChFy6lpqPHT2UYL0E++ujWhoihejXH5kpmglSmjkkNOqkEnjqx/aonEioGFsVEgr+yCltja8aZ2MGW4ykFonKHec1E42qpLboyTK5DLoKgNDyqtshuvnyteAZRI/shZrD0U82Khybo+cKJ2r1861F889TkxQyQLqIiZeVeWksxszBmdHi1WYRCw2xTSyMAqNuTT4DJph2pPJEnH90FYhAUKGMVEhreyDlNrK8Cgkji+IhLPHUUog10j8QSUJxlIChmoaFQUu6iDne1XJmq5mf2ip2I897+v1wyeqXq0/19IW+3ENlXEw7UQUcGB6BQdmvVM6SuxEreQXl8dmseNyw9wXFIC99jHf7qDu0HldwsTEqTgOs9gU0YtPMHTqS7LeqS+HtskdGDOMiwppZR+k1JaGR5fY0eXtcO44+sQw93As/MMx5CDGkPJbPwtVTk6IMTilgBamnYiUcxYNtZMWSr8QgWEYDUR5zSm9LqywYr5dfLv5li+x/Xb2vtjuimC7uOCQAZm9p8CFHXAizZlpec7Mey44gzNwJVx6pJ4G13Z2fb6s5et2PWujmidEK8LQ6uqzRRpavuMaWASm70i0mBmtxXa7uJrtF+tVcF13Omr81BMChtVoi0SRtkiv0hZ5BwyMC5OA6TGkGmBpGAbFbLcPij/ui9WOAzchWkikGH9QSYJSg9cvWuC9h0QLVjaRCmJvt8Vq/X42IWDI5QcTSdJMy5JuAfQLGOhtloDpl2hieW2L3a5GalfM16uL2fZj8I6GwgE9IV6Y41mkMzMtn5nZE5pPxgt1PLd46QoWWJPrrSHb9hS4MEe0yDtmWuIxs2cen1yPEzX+Wrj07vWu5WtOKcOJGWYiU5hpqcLMnit8Mkq4ZdagpPeRhmru9VFWEyKFGT+x8DnGmmFjz/I99VrbIt9RD7ul1swJ99mYTE+FTE91mR57v/uPzQo8QRT4AUgXi1qJn1JdaF4LthJFse5Yi3L2Ls3T2CzNCay7b4sbbt5wCf5dMZ+w2nSMiG/+oJIEpQao1/t6wszaJ4HVdWt5oRMu7JtXAm/s+ZNKISk1ZP32e8sMfaNaqGBFfbXe7t+pZs3m5noT7PbNPyZBTX0/Y1+RYfsogaKtf5Rr29AstLcNfVXjkdG1df3iOf//oKeLhllMI33VdhfahFsoUTLa9bJ6Y5wxFhn74vRE/VV2N6iNOXpznDF79B5zGdKzaoA72KSq/Xk0G6mUp6OZjm0qCooOrdEM0s+Pb9KvP3/9cvdy+Bx8PpRPh0/3d/VEqKoCygRSCYmgyAPlA72qdHhBBoI3f5zN51zr3dSZNWqd9Ynr0IMKC8dK2KCauuLbAoUdQi1SyfFITZnrAnuDSCWcQbovyLe2AnuC2npz7muq9XBMu6RgR1DdJLPqH5dDWL1WQzEUpHRfUh1QU64o2KIilTCoNHvKu/dHvylSa1e5ryiZ3zNt9RjwZoRj1V6MxMN7Ee9WFWxUtVi5LyoFq0nXFWhacaxay0ozrLxfIcFmVYtVasPqLLAVpDsBJ9DE4ji1FpZmYHm3rxK8Xl/kvv+azJVpBXoC+shIlbQusmToIfNqXjXz4XIqct97AqdJs2ERGSUaHCZDGZVM2C+C3IomZkkc2/OfBJEFJkN4NBNxAnmeMyQNXhRsSEiUmsJQ+RgZIyncKJF086QxC13S7YeUHdeGcxijPjAcEa4qlJV1iHK4TrwWMwFf4jV9Dl/dkM/2JqciOg4hQYH3V8HEkG5G4HyzOEyjE1ocwi3oOHKtDaI0oLOC51VCo7ZJ6mTvKpULJj7JENNEFDPRa5n4Nk0SVDNKnazdAU6TnmSIZpS0mlEy1Izs9UdO9cyjmlHqZOtqhQemXVNwzhipRMqYljGW+NaOUtQySZ3M3RFWU66rFLFMUnHno135+L9AxFPEndeVB4W7fi8QJtGFKRrC5L8aFQ6T85JqKnROvZwQcZ52tam0G0TfF2SGsihOFlwD1LRBbASuUEIqIkqUEK1GSeo9yAjuWtumtLqg5DO5FW5hSyrW9bDVmtgSc2WPY604PrzIvbCYcQrRyWYcIXVMvCFPKM5jZup0cUbCnDBiKmFhmmRowqmEvQWnTmAxNxAIMaYqpJV9kFJbKZ6NOOg1jrbikjyhrwznt77J6ahCdhyGvsfkrOMtubq0cH6CKcfgDtA1fiK6mEHWHIahX4mNxn20r4HklQsPriW//BRpjV30dje9WugHs3eHPhkqNCStgQoJSevEtTX5+xSwsJve7qpXv+v1ftnL4K7jEizjugr85QiDgcY1UiLQWO857v2yl8HNyHukkCThDilzsvApSCF+Atb1Btebg9u7g58ckm3Wl5AE0w4pS6LpKeHYmBIiukmzSFcwfoMwNWIIU3PSLtu7lGnrDqvvZoxKGoaoMbUd8+kRasQpQu01EUsjBTwiJIrCHIlRo2QcGN8p3vyvKOO6MXZxkvHvGA+s3ZkIol7Z7ga1MQcMURuwZxSiRqwhanwYKESt/Xk4m/JgNIlTdJq2M+p1QfuXOReDgxtEiVtbPT4cQKCUAfQXVx+V+keaVrD2xqAQoG8Mi/vK8lXtyla+CtvM/T4GV8kV+u1X409X0RAff/Pw6cvd8/P9D/eHz/sj96+cAdy+e7F3HUJLC2NoaRpSGtMU6cnBQm51jfal6LZBY0ZiiuzaJM/5yNEo7HTQ/0fQ9B02xIgWZox37PBZOWIeslVbEqbtVPmrOgmr5O/6BMo2vTJFkLbbA1aCrroA0iXM0sXDy+Hp0+PP5d3Dr4E4SJ9R0ZaOVBpW1T9WytNS+9ojwmApGN+ohsEu0bDnwYds7n69+9OXw/Pb7eHT4f6X5r8x3YPqlqb4JNoamjQeStDUrnm4lvugqOeYGtSLxYqbQLUpNFt9DGZvt8Hldn3dll3cbNfgZuSHGGGpqT6ZiULU/0hIyCJ7uxSVri9no4yOdzTSz7COD6Kb0dBYpVZb1cmzyG7rOW5p28SCJg7FogXREby5+IBUjctzkmdwz0MRY5DTPLNUKsuiPDXWzDRNM4zHVwmVYtFyAswPZoQRYapCWVmHKIfLxJuvK0uOdnWZeOTk68qQhZ+1Cz8bNPEywzTZhsia8Smh9oCpjshlQ2yCi5vCLKvOWJzSnMC1ELv6cHUsW25qJnjG0rrVlnFfnDHKOZekdjflkFJGTqlzWLYGDCjCdoWysg5RDheSL6c7/hJHN+1iIVbR28XnbnyRUwGlwF5DcP/tgT6629bZqe22jO9yKtbMDWuf4YD4rNGxF0lnhIQOpamPR1q/c30F0pEb0sZIiZNP1tRwsmLN/cIwOuVg1X36HXStSz9L3WDxHhiBBgRSYqhiDR6tY1XzhOCIUTygwK9rMEq0iMBssg46BO7pVEdBUEP9PUT9XsxhTYNmYRYjfVaIncRhlIESoRL2OoT6o4ETyEomopUU0XpJWbp3HqsN8uFvW+wt6qBCNJntSlnELUqTOpgmxg4ifICQmm3bPArTiDqUt1QJe+tWncAi3xEkMd4qpJV9kFJbMN5kOTG1EkFUEYxJTpKcjFqJdCCJXiJk2EzEAtR0GyON6wn4cWFxHChERwhzTHDVje0IUv2200asngNOEkaEIGxxmEmLTFIpZWiSOodtb8BgYmxXSCv7IKW2ljzujeNdCEZuOW4Q7KwW0Z4khdwIGFoTbpBETGA/OSZ2JJA8DmNTmd0I65YrKlzkIVfpTX41GkWZ3SGqkPV1LuTQ1j0B4odxWiGt7IOU2vLxtieoruEO9gR8s4uzx2lDUEx5pUnnT4Y3BAzVhJ7mpIlQoy61pk267my5XM9n+9n5sgjE5mg0qjPDscGVlDgE3V3iXs7qV8tyRnJYTvWTZFnu4lNTCfs2TXJ4q6sZxBHjuEJa2QcptWXk2f0AvcbRTjVuSaSvLIdvfZPTUYX8ahj6vwPaBs8ahnaaZa+PGza/yulwQ641jC2/A9wG5xpsPXDBRCmSKn0i3oh77Ti8IQcbxpffAe+jrTVKmBewsav2o8CGLD2MKb8D2AZVB00kP91xjLzJ6WjDt48wVzwqkMd7j090HlPM50aFz40mkP8Yg3CigBE0JJzGhq69N7v9+rrYBtvi8mZ1EWxmi4vgcr1FNUVGEbuGmB9b/nrQ9IhqNlH/g4EjeuR5z5GskgSlxkKfrnsK56i3DKEoQy4W22K+H6jtiKf69d57OspS79HKK0lQavB6RQvOVG/QMgTVGCydCW876ChTvcNLpKpTLVed2pPVjzIM07bDC00sPboVoiN3OxKGxO0wloI7thWkZvc6zXJi7IJGozRFEiQHrnVJ1oceyaFtpx8MHsZOhbSyD1Jqa8TfKadnSNsVtZO86nSU/dxjRCpJMDriEJy8Jq4khr3wCkE7oeBoXg1CkT+oJEGpwT6Z4ODD1+yw30GwKe8gGCMszuF40M6pbVIh2j83eZJYmKdR6BC8MiDs1Ql1Aov0QBDEeMrAiwdskFJbKP7SdPXKbwMd+RgWuWXojuq59RCJblwJ5PTBYJpwO9B2AuayHU6Pr+hjCTMaRQm4oFuwLdcN9Qgkj5G+fV2sQZ6mecLswXNDShmxqM5h3RUgkBjLFdLKPkiprSN/Hf7C8Oirh9NuHpoZIZT4g0oSjDcGjJTfylFgmE1OzwjJc1zDnO3eBUIrLy6MMRynFI5C7G/+oJIEpYa715TQOvcDzA3L2e+MmPp6xvycYVZoi6E1K9QK2QgjS27oqWk8o7te5HgzYmtO0ht+jAVTLZWzA9qYytlUOH07mnFUTraeLRG9DVKlmqw2/RFpVoS45FkhybsDBp3ff/ly//Dj89vir+Xh4RlPsmqmhD6LP6gkQakDMU00IcECLGMa4l06lUYjzV4Nij9uitUObq+ccLkN5yyI891AIOzkNIxS+8mukHULWBna0AsG8gY3DOg6wQyDOVuGTIM/xSoUpsSAP5eNl8Wu7qs0WxqxTzNCTI3a8edCesRhlNvtDIWszyztR8aBp8iG5g8qSVBqnJoIeCxpJ4058DECvDyo1pti2+2AK6SdNa1T+4weIpxA4J9GSeSQnibJZHJaP7SBAZDW2jBA1HijWjAMnU7yUKwaN38BFwac3+zqyoA7A/4kjHOju95A0I6Q5xEimVT4JVUfxiQHNqAPmYkN+rSSBKXGronQx6p9pqkT+hfF+2K5bqrCGBiQhjHsPu3ED/pcHB18KdjjZSRVL3z6cQ3oQ+EEDfqskgSlxi4z+q7GeBLe8uFvG7jjBm5jHmFHZNsRxaq4XOyNBwKJaAwX3Mtb0z+LjXXXSV3yA47uEBMwvhnsPFPI+j0jhzbZ3zh2GDcV0so+SKktkdfZ3zG3p1JLOCzVgj2yBsBta3/rlVts7HGLhaVQTEcDU1RJgtIR74lEEda6Kc25KErMV1982Tflqd7ut7PVbrPeNssf9ssmNDQF8OHPuzT/HA6a1ZL8O6re39qPa+ALZgOIUgtEqbUg+TQR/liTsaw2AdLUJnZu9ovlYr8odmbBwyIkOpJYnnd/TzIXsdJR9VKlH9eAPuRPadAXOURUyyGyl1hwRh8ukVijz2r0RyWacD3UiH5d9MUIP04gNKEkIvaoPknV4y8HxhkwqsfYMaDrxanVY2wZMk3gSBhhDIg4A/LEroe2NcyC69liJQ5fRP4kMTUGj+AEQgIxbt86iCBJJmVQPzR+5xkihwN/UEmCUmMbygVnVYiPW0eWx6y1eI2ZEB0Rcr+/XKzqLvJ2p0Qd8J0wcEGbPd25W4YEPny3n7hgTew+DYVM7ig5tkVRQpDFmKyQVvZBSm3lvPaiwnzxH2aTXVI46FenplaEUBxWg66IwwozQL/CEJ5GwBHQ0ObzTeNiahQe+GQmNoIuDCYniYNYk2S9k0MOjfOEIGY2f1BJglJj4kTYg2Z2jf10XqYkDZHb1c6/ihP0IxA4jXhoZ0uy3r8qhzYwALG0+YNKEpQaxyZiAHi61wyYzMvEIsKQQunERtCHhSYOJe4Vsv5cl0Mb8MfOdSLOdRJp+Fsbg7jjDxp3Nf5T+ploVtdNNIbioQSdFHMKqFHIZCheP7SBBYh9R8UdDyWxxoLJ7DsKX/E0LJjMrZTSiBkPAQNBX70yT+0GhkIma1j2QxsYgFgYVNzxUO2Oh053x0MJVrFjYgcHiaIMiTclNoLOYZ5ys9NuZUuyXimVQxuYgNjZ/EElCUqNaxMxAcwP4EyY1MsR1y0jDRzAn4u/p6nDQSypOvjluAb0Md2UCN2UaDkCZDojG/Yx1ehP6eWIspzrIwb4DQRdOdA4SRxOYknWcUAZGmcB5miiwtFEqb4BJlNFowi8aa5ZMLGfI4mSFKmGSmwEgo9pkiGOEJULClmvj8qh8TbzEXLtzB9UkqDU2DYNF+Be6Sxs4y3yUcn1lgv7bdFleWx7v0ZwvlguiwuQB2fWoAsTRRdS6RZ2cQbEXZy5BF5Eo97sHSNEc/ZI687eMmYSRsRwM7GaEZETI+Y3SydGmDxBxE4iRnH0Fp0B7qIzq7+oxwPiRSwamMVaA7PI3v7dOTY5CW/jtj1R45Lg4BtjkzsiZ7+FkUGMzw87VUUOqjEyuf5jkyire10nDpkoKp2MSZajWxx9CHwYQxXSyj5Iqa0SbxHJcWyKSD6CO07OumY2EKG4PQdaAt1Zh6E0jVhKQIcR6xxGyKLX3ETG9Z5lMTG3VjdQdGNEUepgrKl0/aJWRsdZkyAuI/6gkgSlxsvJgjP48A2PkxZzszRKDIwZuo+MfIlYwg9Sw5UDIWFk7KbIwWaID6Obg2ZhbPdyqHSyu4sc3SaMYPQwfiqklX2QUlsk3sIz4jQ9OjzDwCM3kZQiBgJ/UEmCkUhCsJpGJOnlaeXKTw0rf+S4Mx/CMcmMhrOJohuj1jgdhJJCJ09aOTrOHLBobs0cUTU3zobWW8usSZiQhFg2fevEQ5hgBz4P4yg1Jl8ZKLrTgOUMoRieBpKuB14ZHW8qH0L5+hx4/qCSBKXGqclOAz58s71qb11KLaeBIALZoTjy3GyHJEOymDtxQ2lmLmSZEazURzcHVzIzB+YpdNKykKNbjgQEQoypCmllH6TUVoq3IyEh+SuOBJRHTkdCMyeIExGLn+TAkYBhNY00irC+rq0zNYOXv3ShGj0XKeZ0IDaCboQ4R5IaBitakkmvRT80zo8IuUngDypJUGoMnE4YRU0VncZvmhOzMOqIzDaDmyxKCGUReLq265wiR2/vbarTN426KV87DrGtKp3ibepHtwkiGD6MoQppZR+k1FaJP0GU0qMFEcYgNymUIq46/qCSBCMphAB1shTq8+CwNqTCqa1D0S79xoNdrGareeF2DoeEUaSEJLGTiFFSQlwaqqt0Sh97ObwhJ7MFxJgjOcxybdlmy3I9Jse1mcKe4/r6FMoxd+IogeucRXmky75c3HPGox7Rx2fAdp9qwVvPgBVMMDcz1Vsk7rAeiTu9SaI28xTNTNmpzUwZsCwHj0r9I3+DZqb4V03azBT69qvxp6toWJuZum1IOYupoenR3S/BDciwDQgfRqduwMGnoeDqrUmZrTVp0hQue6tNlGj14vi/K/m7PsFRrUmTDLyG6luTzmYwd5aPDz+e7Q9PPwcXhz+9oCKqGV578/rHSnlaat95RLZ8Dl4pq8nysxlazmD+9enp8PASbB6f6gmCxx+C5f4CU0DyEP6QvHXV51ryf/tpp95O8Vlu66Fu87BpfRRH9iaYHRH8zTfbbe0Qq8N4am/9WXD+YRss1zP4Jv0sYSyBzfeujEOcMKTYslBMagsQCSnp9JKchpmDvaTQ9XqJMjqseFsgRFiqUFbWIcrhIvFXRSo3VJFCKvUb+ONWSiqnMEj8QSUJSjewvVaAqbccpo3TNrLdbVOs1vtiF2xmH+t7duMZMViLthIw4v2M0nCoHLfYWkvAuCnG7fAWxfh14hIRG6YVaRQWRjnhICI06WBjyfAEh5iiadAdp0wadJLFkAbd/jyaLa6Up6OZjqwhk1lLyNRsRgwgebB/Rg72bgroK7I2mnj8GdZg1hPLZemiUenTR+qdrzelF2t6vV0V22A+W30U+36S7d69EISQEJv5MLDIPz5YuQWaEVwydspB8Hc6ficAwxBg2ov1fHivnluDfE4FBtR/JTBwVGIThtVcLW6WM/6/u/1sX0B61Ak4gZozx6kNh8qjIU7WjIkTccrgAtESKHiHXS62u31ws5+9O1su9vtlEbyfLZfFx2mxylJQO+fySBSIzrQC0blVO3fOn85x0dMCo1umLTCr4oNB7+ajxllovBY1kXTxk3ES5y53ayqh0h9OToBnTueYoKufVApJqXHLazVzvLyMYIquRojVev/0/BLcvNz9FCwf7x6C93efzvjYn/482UqletmXHi/a1X2ho8IvuV0KuhuT8S0V5TQEFLHZnBREIF5S7HELRKnJdl3siy1SjZXrf3EUG23KLMqNnV9JnDFzgeIzkoYphWfReyNKQrn0lQmMZiUOJspihbZyGKbUl46/EuejejAu9iXKK7d8Zb0gjIpVlxyoloSxAzZVzhpWFEZMqFs3wIbYFje7ItgsNvyXxQrOGDnLSBabiw8bKLox4jRxyBpX6WQ0pBzdlLyG6Pv1k0ohKXXOTii0kljhd+oitPSePjqPzhSRtdmuvyvme+z+jTIG12nr/Mw0NmWcnOVpZLl+jhPKJ7EzUaGTQUxydKu4gmFEmavQVg7DlPqi8SeuuGV3rLjC2eQmrZopQaj4k0ohGUsrBK/p9gefWJkhc9kf8OU0JMNMmyNneQjntPX9+Bg1BtTkScKQpd+FVoYpJgOHoZWSTm4OObptcyAYohxXaCuHYUp9JXnbHLmhrRxykuNcctobOXJC5O35kMfQrsCAmmxX5MquI5Z7E0EEe8XqEPrGTzxXHMXry9ZXDO4LvugQHVUkjsRJaLw5sV6cON6bANcmrrcmGIAIoxXKyjpEOVw6/roMRPmxe8HAGrc2A9H4vrbBiD+oJIG+HRCgvPbugf2CTe8ehm+Hi/XFVRGQOAyD/0H/sTkrJmzag3kImXARMs1H2KLpFybQSygvlmAv4fvi3WK+LGoh0V0nnUmH2ISAITYUE75CpjkLmXdvIdMPIB0w2Fv4rpi9/9iWm2idqxPewfWvBSMVV5Kg1KD12ucjwRrvCaRg9+F+O5t//249sc9Z73AgBVci+qMkoYaP74sLlmPZPwIf2BCX22xahJrXgVdQWkmCUoPU88V3bLn4Nmg1/6TfftdKzVu9vstJ194xfO2t3Hnq195OnU9cr71jt2tv9/vQkQUUp2HGDUtEl8hjqu/hzvCJubGSstGVdjcs19viUSqD5g1oaXpjR4xoYwd45T1gyOjKO7ZfeY+C13ZY9NpOD1/TZj49aLQe/KSgUTGA/uLqo1L/SO9Bo6avmjBoFP72q/Gnq2hYg0btO1bOYAoYPSImEYhMiUg+OlPbrcoI0z0iffZI7f5LRlEr3aBcACbpaJMPk31aGpkx0o5oYcF4nw6flSOWGYJLU5oBwaXtr2oEa1bJ3/UJjgwuBa9G++DS83OYkV20b9dkKvj7u5/Lf66DgPnW+Rws7+/+dP/l/uUe7mkkp9a+qv6xUp6WGgbHtGlKQbtJjbE5P0dDqS6f7h4+/XT/fOAv/NegbD8SvWFN9Zh78SX8QSUJSv3bp0lxqccCBQ6t++GFMd7edTvbFHVL19lq/m5R+xBBXb7LvYozYwVRA0E3QhLm9locCpmsK9APbTo16SiKXl9QQyWm5YpNiTmSDxY15lVLDuaFiQ0mDtjBH+Jug1yPrh+DPlJUqENsHpjd0v48mo1VytPRTMfG5oGOBF1uILrobCgW0WiYCP6MrPUGKEH3yod5jR0CSx/K4Dyk/uR8vr5Z7aeNxO1eB8SnLUOYDasQ2gP5T0SHpOCaaODJcQE7X69qJ8D0TpLmfSB8+INKEpRDPE/PL85qLyi75aPfNocLseQ6KESvWT+dkcUo3N9MZM/HGTUW4IrzMDFWTkMn0Ay5nkzacv3QWE6xGTKMhwppZR+k1BaGl5xi82sYco11pbvlGgeT2K/SX4EqqFQei+ogUdmCvrcMbhZnx6JaL0hmX8q47yxGBC9/UEkCF2iMCq6zqOHztX2dbaKGTSJqmjxhU+BbfR/KcoM0ojk1Fno/o4wlGZJn370FyVxq7at0vURSh7fsHgRbjP0M3D3YIKW2pibv/GF+BUMaFpwHTghNGMh5+66LSHy6LEO+4nRuQLIM49pvzCWGc0l35HT7j5/BSAMkB+lY19l5ZesW64eczijmyCijZD05gzE23MXDTImQ6qaOJ45eu6jHLq8kgQsu3m9M8XtAfiigJ8+22BXb90Vwud4GxWp+c31eO1xGISknXHiNmp53EIorQaZfCcbW23inurwdL5JQ8CJ2OaNxe2n2dsMXWdOYCz6eWZqmcKEsIR4sLbfOWEZTRD/qEjIIiyOXgtaSTlYIlKPbZAgMGcZEhbSyD1JqK8NjtrMhvBNpvHVi96xmShCmnFSSYCQuEKj8XotjFdC4Emnwyh7Kx+f7UR2NU+7D9WpkPWRJJQlKDWPP9+FIZRUZNACns1ySOAyK681y/bHAHNYn3YSPS7HoHkb9Jlyp4gU6kd18x2gJlqHv+Ai349iPksVJiqR88yWZsEgP+REmDYtGyVi9NVMLZIJdj7Msyqk5HbwlkeZLO56NQ6DPecCjkc/ZWNilrSoUwRWVIkC74z9WytPRTMf6nJ3uqhh6F+dy6dbNA31K1t5T6f7z9uO8+p3BmrWNY9VQDqLO7d3dbD8Gu/16/v303mdAJW1QajXSbFhJ1rtvPk3RgGiSJybv826/vZk3IUPbYj9brGZX08rM/u0gtPiDShKUQ3S95oujcFHDmtps62qX+4/BfvbHiWuLdC8FoSTUlnyIUYuZ3ysNrKU3jRNDIZb1ar9YXdXRaMvF7FwUa53wYkOvny1gIqK4OUmHsXteVZV2QqwpmNPVz/QLqXkhGKKskgSlhukk1h6f5pYP3/h6Y+pw+SOIQIjefbzY1oUZmkzk4KLYrHeLPZyoEYWhIbPvjB8V8PM+Nog/MmfhI8+1FPxQa77Sj2sw9wyYYVxUSCv7IKW2NLyZeyQ1uIYIHFtp4I2TvdfMCeOUV5KgdATcr3sIa+T7e0pUNmqTIgBkok0K09qktICaxYUVJF1osLb7RO00cXARMVyutt0KTHc49S4FN3Mi97p9sztjbP1GDHuFtLIPUmoM9efTSSLDJocbLDlialijQDhDi5PIjkkiYJNjWE1SXoDB1QXa+XCl+/1sLpLVTdeMSZZn5vr1KIF1hGFIa08mz6z+JwM/9FbEPT9EDo5WSaDlj1/hijrTCEtRduwW3DxcFrP309s9zRvBIAm3WqK51czJ9pOAhCbiEEPF0cvFfOYBHkST5w8qSVBqePqFB1TlW3jwIycKyfQuhuZdYHhEoEWSafBYtXhWg3PcqSwu0aLM4VRuieAVtCz+uKg7Xu42xapuAAseExQuz9G3X7eriUOIu7+wnsvgV2LgK6SVfZBS46jHc/noe1kXRA0LFFG8+YNKEozPZBgnr/sarnvXvEZsEHvFRbGdLYMPb99Nv71T4Eq2QU9Uu2NatTuWeE+Qhr2ILUoEv44SdrkHiLBNKPyGTPMbMu816ZjeMkWFCD8g2mosfpYREAHUYiRKO6dUw8j/ZsPKEVBisHJnl8vZPFisdjdN8IMHpDAzV6TgsJRpSPkuW8rgoPEWKcNq2syC6+L6vNju3i2mSfLt3wYGSNhYWsg4S73H06S4iZXiS2m5F8lmu31wsdjxZbTYf6yX1rceVhVmCKXCEEo1Q8gcfz0JaLghlOKrarm4LLxuP8wYSoUxlGrGUGo1hhI3dbYdDTd8MnwlXRcX3PRZWnHpipsbK14iT3FIu78wgIqZUOIyhGmXIS3IflcfbkJleAjc7mY/Q2ITTllzmAklLkKYdhHC7BchJ8ODtWDl8ES4JtrAM/mWxBR44Tlnaa7BY00SOt7CTPPWHMhc/L6Zwe+73n7PT8Rgvr6ue7GZfGwinjukpkbY6GMc7/5PbPYm/M0YKxTSyj5IqfHXn72Zhcfam06Y4us1w0ymTJhMmTSZ7EB53eYZvoZzw3Gz2M2Di+KiDcnwYFFl2DLLhEWVaUso825RweUFJFJwVS4vAX79+8AQCYMq0wyqzP9iwg2qHK/DpUMUxO3t9IRQYRaVCBZjmWZR2WsanAwVblH9LrEYDMrjbjESRpWSyS0xmywWgw/fCD8R12Q+Xk3BT/Ovzy+PPx+egvPHh89YC780SeDSvMLdyC1Gk4JM0ogitTA7BTvNcvsJopDJavBybNvpDEOGMVEhreyDlNrK8Hg6G6rHIt5gjD2OpzNmCYt+QkxpKGQHyq+UwOPuDZUglx9Xq2BVLHdcsWxCJ4Pz9UpvnnWKqMAs5ExYyJlmIXtvOMQy1GqmhgqQV9uiWH1Yry/eXmya6jHXUyOFmb2ZMHszzezNvJu9cHkMiRTcq+TDbPfu/Ga7CnY351NjhNm+okIG00pktJj5xQi1famhCNFixU26og667TWZs+By1GX7FKgwO1iEczMtnpvZi2WcnBmEXlhRQwr7EKrzWQNVc/kwHVg5ZoSJJqos1+6tvEdzsxzfe4b2X4uHT1yhCfZ3fz30aTFnl4fPh6e7LxPChW3DXGzDXNuG5vajU6RW1TkbaGrV7xSIqL6YMZNGz62Car69sspoO7xDitWRWTYjPZmSJA2R5EdGGMUaa9IoC9FCoyTKuSlqVItbEplJ1QxnYweQSKUxRG9NH7kkUtXK79vxjKC1FFXK09FMRyZSwTmXeiJVhLL46xNncdPX/PCMttaEEirr7xD5lEo6pfJlExl90W2eiBr0FpeqQmS4tm4Kwwez+Xx7U1wEi9W+2BY7pI1IHCVgzKFw/1GkqklXmI7GRusPG10rwtRRySJ13bhGyw/DDeGjQllZhyiHK8Nj+y89wM+hUQLGFcfmX3AYX1R3HkorhaR0Q3uyXVBPq8xg7ZAXoynF2yIiueMOICmNQDg7sJGWd31XvDw3hvWi4+sd8ToypR9eN7RlG2DAoUxWaCuHYUp98fjcDtnx2wHhkOt2ABW+BqmsUkj07YDC5VkXRPqtyzeBG7DxPRGlfTXfwXk4kS6oN1ofKwNDXVDgOpky6NBp/VhNYawJ0nSUGi+ccVEyUuY6NTCk8ahOtWFALUetppA6YD2WjQugCjjgw0gFtPdWT0eFrJWfh7MpD0aTTFNovh78pELzYgD9xdVHpf6R3gvNm75qwkLz8LdfjT9dRcNYaN6hwnw7jqnC/ESFyUd7NuO226iKfF8kI4rpqJuJvUgGC3OaJrqklaXpGRl1/9Ar09ckss5QO56FZeN9PXxWjlhsKEyfNMG3b7WJEr2pdxpW8nd9giML04OWXF+YfrmE+V/8x9f7l19RkZdobvj6jesfK+VpqX3fMeYn6KtSzc/lEi0APq/3SjDjP/388+MDanxm8AcIj1OuydHE7hx37qOuh4RIXSI3uC3n6+vr9aot1XE2X8523NwMdu9mW6Qr3xkJE5aZu0vjFPYxhpq0pJOqtPwNz0vOxiu/YQMR0Sok09rZ+3YqE/g2p04/noY7J5Qs0G50FLBEVQftRof4D0zJwdsKjhbjX8KXAOxV5vAUu13T+OwfZv8QtHg12E3oU85hsPiDShKUGrqey3UluE/591xd6tsZpbruWLa1Ajqy80NityaOE/yIUDTKQ6ModJCCmgC0Aa41vgEgH9XgShz6PqSQ3ZDAEiStlKejmY51HYMSQT+7kQJsLQvPbWc3uLXTSuzsfNRsy/elLYEjGdsjHU8KA7b1+fSHBoHBIiKakWjRjPkURU35LHXFyPSWj37bnp3EXuZmGqy6Ji11e1lTBQt+Ohq1o4jmubneDT6F1g1G0inu9n50pDGxBUKMpwppZR+k1BaKFy9jvwu1w29QE0OPkrFxyeppVGc1yjx5qNnxmqxXY+p21LnLSWQD4Kgal71xxTssdm2d2xgEHoIDFo0OwdThEASdZ0kGmn5ZpTwdzXTkIUhCMGBbPwWRO/JOkZltFnNUrocU/gr+oJIEpf7d05iwIRhs3Zx3hgoZm9mivhkK5vzD9rMl3/WtIOc2AKKt1W0gzCYsTmEfY6i8STqpwcnf8AM2ZBgjRNe6UKsMFU7StK6V2QY+4GdpzYczyQen4zSOQqSeN7ERWEfQbqZDvSC4/Mmg5mBcEGH2JNO54DsvN4JlQHOqTLJJXq8URpjwiITwiEKqKQc+0erFE24cWwBTVvOUBrHush8fFUODOFK39hQGMeq+H2oJrufIWMBmjCajvsvE9ND4l0OJ2pBIYdr80wY3qAkMAB9pAkavu6CB+zVnoCHZNW3ORnZk9gpNoMlgGC57u2KA3Jd2ap9RMdCSafqPIiKZhozbIvoMPu2nQJur2o4qUBqeTyMN1bczrgSt56mal4JudDfURjDVK8xhwSj733W5vO76Uns1M0qj3Yk0azaslVy/I1N+1ifPw0p5Opr4aLUdvJrRd2cMw71/Otw9f336lc/4+OnPuL6IfAd/UEmCUv/yaVwyeXjLx29CaHJmyXZTiODvHZSPBw8YkqZpAsdqiQiOMDTGepE0T1MklqubIkkTh2gvla7PRVdGN3lhcNQwRiqklX2QUlsd/moP64nEAxcMEmSDssit9HAG6Zo1TCJXmCi5wnao/GrsuGvytfvgFCUdWV/8QSUJSg1pv+c4F0W4kv7bYqS+kPFc0HX0Kf14zfAOGrr7kYGIUHxrGgWnUWY6iEtNUtoYAekHQ1bo+oHgj1F7b7oTAAoBuD9IpTwdzXS0QhC5KAQJzN1tvfkeDp+D4u7p4f7hR7SfTDMN9Cn8QSUJSv3jvd5phWDkUCOTDeUgmyoBi/ObfXExqUXevxIMU1JJglLDdSKXJ9raPTdkg7UNYzgWxWy7WqyuEO9aErKM5EjiBnGg6cdJGYljh9j3AaXSiUGZw8AHyIPe8EH0zgi13hmh79Riomfy9+xpAlHykQAV5mUT1rgMdl9//vnu6dcJb11jBCGR50+UPH+JmF+EwP3cKDe/134GowgblMR+1pL5iT2Z33U/R7Cp18Bx+n7miOYZ3GKz284mki6INqZhxhzuLlTCfi+rExiUTNAaJVzJDCtJUGo886uFo5V8ckMfnPX+XbENfC7XCLzpabBilSQoNXD9YgXqJ+x33NQRpstEQpeJFF1GojaRe4Pc8uGbWiliF5uL+Uyw1VnKz0t4k/b1w+GETdIPEIWxURCwLA6j2KGVvUoo49yVCYxeDhQ8jJ0KaWUfpNTWiDcvR6KnLw+8HHpWkIVLTk6OJEdOskQkMydKNrMdKa9tEGHxmp+oyJ7Q+RATq6kQq6kmVhNzevAUGBFQOcjp74YRQY5p/qCSBKUGqmdfEIF9QTn7PWBS38noFRi6g1rgJnMHETd30FEOg9GRk7Iky9IMbVeBJVDVfxfno+5Tfd04RkKasZFDaVg1ThDJ8stiUBtTQNfQgC0j1xCx50c2F+4j11AKxTfwHyvl6Wimo11DoFahu4ZSmNOc7PnT031ZD/8cbA+fDve/9GWdQZMbOIbrLyLCGUxCzd+V2sOMXNUqPtQtH1/44x3qZeSG1nO7m/PdfLvYtMVbt8W8WLxHi4UzCtfCFWGMkfHuiKapSavCxh6s956o75bTDWrQpAx4YSxUSCv7IKW2LvxF7daryBS1C18ZoYxxC9oVkxo3sB60a4Jrqmz3ZloH6f6aPQ+tfBRbfL3jS922ytUFbmMNIMs15ui57oJjRjf/KDdW+Xk4m/JgNMk0ue714CfluosB9BdXH5X6R3rPdTd91YS57vC3X40/XUXDmOvutkvlDKaUd4eU57HGRRMaJ5jpGCa4ykWTMMoZFkWXUv40JZlZ5RJEUuUSg1oYMN6lw2fliGGGzPWUMW13yl+V9HjGKvm7PsFRmespA11bfeb6eo3p0L8cHr7CG7MfV3vl+sdKeVpqH3iUWmjNf1uv0RTG87vnQ7C7+3IwXBXm8OvzB5UkKPUPPrliFGO39VD8kM3rQ5abAeEZocSoCHZE4Lder1f7d8uPwflsVwS72RLNY+ez5nDF63b/mbXA5u9jlhlzBCKWJRFMohUHlIRK1Ww5AVI1ygIexk+FtLIPUmqLxF8Uke4ecVAJX60R9hOCIAn3B1HcH3agJsq9wC6ExXxw2efZfFvMrowLnlGLwxh73v09Se0dKyWV9BN34xou7DKED6JeMtHqJRNivQFxxxstNRBPIGXSlGURNVbeN5H0/aRZRhwqBQ4I5bmuTGDgAXYAiELMJNMLG/i8Wu6PGCy8W3BHV5261mF1mcCLYFvX0IS4c0pxNDYqjjY66vWobpd6Bq7WInOojeauCoyvmKM0SUa1bHthi90687+iDAkLO8tomueR5a65pZHXzO2INj5oZZQATugmI3Moj8YS0P3HEmiLJJXydDTTse6/3Or+q5mL5O9++OmRM5YzN5h//XL/0IWeQNs9B/WDpOIPKklQ6l9/ssztx7JsbLgaaNP6Ydu2aAo+8N29NZ54qTkVH33epRbGLmn4PZVyM2pKwVcRMK4mTYrkLj6nI1ngIEeOW2ogDwzwG5C3gj7A2wY1KCgGYI8Ehb0eSspiWFDE0OaKK+XpaKZjBQUB7VhdUGApfI8PD+3gweXBYBUS0KiNuYIsAkhJpH+L774oJEdD8qJackSIwlY0wqLYB5fFdB0ZmpcBAcpFQF6uBeQRq9V8RGdVAhdUr6VoWmMRw1i8+3ixna32QYvJtljVKXBjWDoVFitGQizPTc1ViUlC9p8GIyuC+HItiC93XnmO2KKGQYPtqERs18p3v18WwfvZcll8DBbXm+36fVGXJBupoJ2AZInLKSPJnJcmqNDXAAqFXq9UZo9/cHfoxLd8+NserNTg0FGIjt65feVdfh7gnhxbSR4apvCf95V9c0xTGJb37cmUGr/d0EYXDgoXxkCFtLIPUmqrwuPFHpf/x5fjObEaj5jUeOIqF3tWuCYz1WI3FeuIQ3q89PMkxlc9tuDTbPRHva+BMZuToaaQK7wey8YbUPsacGekfcUO2hdYja79eTRbWilPRzMdqX1FYX3YHJN+X/MZyafePD1+/vrpJbh7+BzsDk+/3H+yOOvb2YEv5A8qSVDqmPgNGcb6+nGtjG8vBvstu+6frRkXnG2L5awOHz67+DBdmFsUgrpEjVdSSYJSA9gvXFh3PwGX7mmxwWVJxT8OLmQD8QeVJCg1fP3ChbUZ46wK+SkLqw46XGx7EWxm2/3H4Ky4nhAv0H1d45VVkqDUAPaLF9buT+DlthsVvHZTbkdQM63xyitJUGoAe8ULjsyVeMF+ZgNe6wnXF3xNxfES11SRFqUbme/pJsELy32I6lsqhuzH3fpy/2G2rdtiz7/HrqtOAQrUmGugRGo70RIG7PdIJwOFtViPaAMUvBG/Wy+4ff6em403HK2LYre4WgVth8kJ0aIYWqJaF6EaWt4rJRAsRytiNVq5HtHStd7cbYrWJ8xNxN3bVfGBY/Z+QqTG4SgCKZGhRbQMLeK72XoEu/8kUnBi6sB/3qa2Tb0FQY9hDZVI01I8hhI6v1CBDsMaqtphyEaB6y1Ul4tl7Xc4Xzf+nKlRwhR4IhR4EmsoWd2GJ6OE6u8tSpjGcFO3ZAsEWlPDhOntROjtRNPbiXe9naB6ewsTrCjs3q0/cHjeFbMLX1BhOjsROjvRdHbiXWcnqM7eQIVEVnx3c73xAA+mohOhohNNRSfeVXSCqugNPAyGZ7Ndn08vjjCFnAiFnGgKOfGukFNUIW/QQW55aj0guG7uhc+C4o/7YrWrT7qJ4aKYPk6FPk41fZx418cpqo+3cMHSu4ZrcbmYzxp9YH4xOVCYPk6FPk41fZx618cpqo83QCE3ZteL3bxYLmerYn2zmxwlTA+nQg+nmh5OvevhFNUuG5SQu6/WCt7P/jghNpg6SYU6STV1knrXvCmqKMUGzVso28X2/WI+ufymmJ5EhZ5ENT2JelcnKaonJTVKKSyQam9mMH83215NCg+mG1GhG1FNN6LedSOK6kYtPJgaebNfX14Gq/VqM/tY3ypPCBKmIVGhIVFNQ6LeNSSKakgtSHCMWFMKMFB6gU0Z8NG8EwyTUJWopipR76oSQ1WlFibYadJstUmhYZhaxIRaxDS1iHovEF3fe2GFJVt0Rr23xCK6freeTQaP+i7Gm0mtpiRzKSJwdDnodqLjykG/+voSg86hNrR8TzNko6tjpIeLaZnA/ZAZKBO7pshMb4rMXtPSpXGqHnuTHMOsWL/8dHgKDKlqckbgq4jwkhMyCv31XkUOdpPLrBdznP+06hSBHeM1QKK0sOYYJ94d4wR2jNf40Oa6GFHIl/MP8zoN4oMhWPoUoEC/eA2U6I6i+cWJd784ybEuuAIoWO+8+LDzh1IOnoscpVxkmeVaLTzvLnGSYz1kRPS9nmwnbw+4AdN6Cya+jWpeCUZJbLpc23T28vUnowRuOokSHKPRRdf6WUvYjsvFjsu1HZf733Ggr6BGKWl2HCy6NzfXm6BYFvP9djHv7s+D3Tq43q8mhAt0H9Rwifj1PNLg8r/1sEbQAi54643g4tZNMF+/L4J/C86nC/1p3g4GTPSCzrVe0LlvTwJFK6qKOGxYot+sZjf7d+vt4t+5fnCzK872s/peYbG6mtTooSEi3KkodEr1Qqe5b7OZou0GRKArDFgbZn25XH8I9sVuWquZhojKSUWZKar1HKDeS5xSuF6hRMmgcQbbYrkWTvNpYUKkOxUlC6lWspCayzRNARNDM0yyRlzBPpgP79ZcoHOhHsxvlr105+ci34LTwQXnY3K4WOv2pCzR4PJevbA2lbDMxqxeWHmWwqr6zXazvNkFm+2aY7T/OH3ast51bmzNDr0PVE34nNL7kL3K++Bs8p7kcRj3ioNgGnkckF5xhnUSwZmDERQYEnWR8tEorPs1reOYUykZpJbk4uHl8HR4fgkWD58ef8adDAzyk/IP4Q8qSVDqn+5V9Yow2zCr9fkcORgXdYBLfSJObfFEkOpQQxQJuzDSVAfm+xqZwh53iRB8KF4s3i8uitXF1AhR0NnOEaLC2U41Z3uLmN/zENNGf5c1REGfe42Q8LlTzedOvfrc6xmSFLMHf5c11LwOhBB/UEmCUoPUnKHrmgYZxbd8+LoWd7c6jHXjT1hCXcUpFhIwky7vnmfEWIyGJpm5FA2hEXUoRCPJZKJYP7QpFRKHDGOiQlrZBym1lfG6VMiY75HUUi0+1cJOswbAbZMHqV/JWdnjVi4+RbQH/qCSBKUj3n6lBBZF8TtJCciUaJAThfbTRFs8PrWVXiHC7i4FSLCvSJMUwXI9W01pSURwtq2qpQ4tiRY8a+kSR/shcsyqPUKBheWoYY+apKdJcNpl5lBc2rgAmSpDPuimSuSQVxvB5Y8icI90NVQivfxR9Iq8WhKByoNumyCVkOePDy9P93/6+nL4HCzvHwx1TSJQKUi46i38wlGkf80k1Y9aBQP8xlrJThoHAXr50jfXMaoAJA8juAI5sVJ0OeCEEbgh3DARvCeTRSvl2AalFUGfP6gkQamxy7OwxStSncaWkyQtXCRK3XO6zyZykbTORaIixyJRR21IZMkaV6tpodrXqLY8bYiDUnWA+UiqOtSKiuBqBRF04xJ1AS6RXq0gek2tKOrm8slgLl7d3T+8XT4+PwePD21kT/D4QzB7fj684BKWwg6gtKqfVApJqWPhtQNPjBWPonmIt5bZPD2Wh6eXX5uvn0zpbF4Ggog/qCRBqYPq10eGAZTW8RNRjMTtrne7YL1S+m5MeOcN+0T5SopEja1oCFMLm1+UsCK94qyAb0WuZotVINJRgvVlE6M6rgt1AlBQuFoDlCijG2lldH8DlyvqUHS5DJk4eCLCRFIkJFKkuxN9x72lMbqQWnzgZAJ1IU0ojpDlwx9UkqDU8PTrbcWCJX43aUTB6kIcJf6gkgSlBqtXlGBfirxx/A0XEYUdKRwe4UihmiOFeq9MFMOLiDVhk8zQzHS7qju/zlYfOUjL2epiWqRibCHFYiHF2kKiqe+slCTFslJ+t+3WvBKEEn9QSYJSg9UrShmWb9FsN6xIhefDv3krEKisvQlqCUoNWb9AoRcdv/3h37wMjA+pJEGpAWrExyHkofOyp7d8/Fv56bn5IuiVcrt3NfK/B9uOJJ1NHcIFF1sfJ/730ihHBjAVfZV/ZLwAQqHCuKeQVvZBSm1JvLYWpqUOZjRKPFLrYOor38YX+92RgWeORTQjOD1JdUWMimgacLY5oZzjhaLUzQf1Wu8Fsn0MHDIwwLRfnKKTWlIbm0AP1YBRIw8VkhSlIh3noIcqhsymOK+Up6OZjvRQUQbnbYw8VDPsUueXw/PLz4eHl6DnN67BgwkZ/IPqJ5VCUuog2E5L1+Mgzm/rKdR9U5w7nQjF+XHfP7q+yjPK4Pt7YiNot0dGkVrJ6nLuiWQ/j35Yk/A3AoOybEBdOQ1V6svBSxxAv3S0o8AhFABng6M4b2c17tuRODdj5hAK6ijSm7ldRPqx2x2G0bTS8UVuW9/DpW3jBCSxh7zQJbZgkPlOAc5bhR2BXQhrpOet9tMfI7HD2OmqNkdO5ae7B1sMaTsF9B31k0ohKfVvn6rBAg0z9LK23iAR4jy4avsrrFfFR1jHiKIkpXA7NWKlMOjYyl8Z0gwyFNeswzUbXsEKoCdq/xNZguRfDWuSp6mx1D9O0LVjCClzKPUvyXro5dAm7Q2Owlf3pnaj23JiwivdzE32um7cEQ9ikkS5buB0+MMPVeztsPeIt4PZ0AZ15QHeI10ZCecfwAjryvAVQyfno5Gu/Jr4/cilRRgJYf5tD8+Hp18e7+ucifq/8Aj+CDS584o/qCRBqX+83/sArCWsuHeD0+AXq3ntyN0El7N5UPxxM2urwk0ei40Axh9UkqDUEJ5KpI6UTD1+5XRs+uC4mBFzb1ycomtbwW1l5hBipNBJC1mObtr7sP6r7kU9dmbaBmuRm5J73EZFmGHkg5EFDuhrwNswB+XtAPWRvHXQdOMQ9k2ApnxYKU9HMx0tb8FiCbq8Rfpt7n59fjn8HJx//fVsYWm2FkEVEPi38AeVJCj1r58oKBErwCKkB3z1U/xxsdsHu4+7fXEdnN98PFtAGbHdgiNpanQ94AT9CBmivQ2XbU8mo2n7oQ3yG8GfP6gkQakxzG9YYhzaxLqBMXWyu403p4Qnti9n3H66iKWTithmAgcRe9zehBeuac2alqt9pQ4XqQ1v0JEwQHzkSAgdxCuFxSu4JWilPB3NdHQ6am2wH1kAiyBdSQVHt4eHmve2FFXIS8I/jj+oJEGpw+FXwUXjgdqMD6TOU7vJRSfHyfVaBCcqcKJMiwvyXi4sybD6RXnoDBNXdovVbsIcogzZLPxBJQlKDVjP5wdFc4jcoZryyKDwkaGIFC13KHM5Mo6vQtBMdHQVgqPlju26z4oVKO4HaI3EPT26GEFMYOkPXrqQSnk6mvhY6Q/3QdPFPdIhsS3+YBHzYDcz/hVEdDMjoR5jH3sv5xeBX11Xqas3JUHaJyk1bUVq31kwX/Jfg3+Y/cNkcoyAGQk1YJEALNJqQNnbmbnfjJJbPvxt519nuSFQRiGCV0dTctvkyaBRloExE+L2iGVxanR0JCxKImO6dExCe0avQibdyf3QxgtTFC+MgwppZR+k1JaFt3RpEid4ujRBLklx/jjlSzdzgjjFosd0LINV7Vj5LRuHKYY5/3/8f+Cgwy1/k8/3Dz8G4qWmExI5qBRy6HKhPOeaUhj7jl6lIVrUsi0U59ASa9hJbDoVOgRVQ1LxB5UkKDV4J/LsgBk9stAZUnDw6fHT4fm5XjvcMIbFZx4hWaLE8lz8fRq5dNXuqeSFezeuwWaBcoZqwFlcSYJS49A0zc+5iODD39LQ4QxTiF55hmUMOcNEF2j+wHjPnPK/J8YbUZY4RKIoZD2f5NCWIwyBC2OgQlrZBym1VeGl+Xk9fES1nTbofA6HfOLscTrBmikhmPiDShLoJxgGldc0DLxBdNumANZ5t8X+ZrsqLoL5u2L+fdPfcTKxHIN9oTl6segLHet9oanvhLkkxZJV0tAqJi4Xq9lqvpgt+z4zrY9jOhdHipgG/EElCUoNYb+AYU1CjKmYu5vzupZMc9dZrK4Wq6KtDTt5XRkwdrYGLK8kQakhbAXMPfOA73Y+xy1zOYzY6w+jrjhKlCfG+BucwJQ40P+R5RxBvhRjAAPPEWyQUuOqz4hR8oqIUTdoTf4mAvvmFIfPOGIUx8vks3Nz0RG32x1X59D47pxkJNflg3IuwzjHLGbohXtC0lHx/E6RihPCRgkCAx2qoZDLvhnMxjDQQThg2chBSOz3QYyBHkE2LlCsPBhN4uQM1ER7vTRo/zLnYnDQia14CVePD6AHUB1Af3H1Ual/pGn1am8MnmL0jWF9X1m+ql3cyle9zo18hX771fjTVTTEx988fPpyx23AH+4Pn/eue1cODW7dfbdvsagXqJBvt1/DOAmzkcEqdiyN9dJbqpcI27BhnHMhgEUkZill4wbRw00raOS2FUNaWDLet8Nn5YiFyIatSZJUv7+Vv8pJ+L8r+bs+gbJZr0xu+3aTwNr8Vee032xg/hZ/LQ8Pz3AQjBxYe+f6x0p5WmpfeFzYuu2+YbP5NkQCBi7un/jYwfzxGa9808wAfQB/UEmCUv9kv64xrEJAzJoq7kgTtLZ9kLgo5ZrHE4f08+Hzm093z4cvE3rHEJZTYYbRUK/j7tsMo/C1VA1Y3NQJQpozD7p0TH3BTLWbLAUnUXoi1CoG+F9YcEntGqemmwmFDQlufe0WFx+nR0grqS0REiW1qVZSm9qvrlzNLT7XbT3XLZ+jdq7kpF0oRt9fR2S6g4dBas+2KI9MedroYxzh/k9gU8v2lRj4CmllH6TUOOrt1omyLD/62skJVVM4TY7gxJ9UCknpCLnTBne6K4jg+HrW3J7wSQnsTNkWN/x42Cw2xXKxKoK/v/u5/OfgQ7FcjjxPrVpFuQ5nBbAncm4/iiy/SITfR0z3BmfWfAXXS5YIDp/lwMXUsMMX2+3i6v9v7mub3MaRNP+KPu3NRpzHJF7J24uNU0msKk2rpFpJZbfj4sLhnfHsdUyPzbA9E7uxvP9+fAEJCsoHoCzCvfuhe6eZBVIPgETmk4nMro9M1y2M3usdavXnysyXP+sR4MaplVKGkR+J9diPhvZMwKW1aSbA9DF38mcFj805C042+Rmm5cKyH5r8HPaL3z0Xz8/F4e1+v/7H2U8q4XjSI7B4ZQVKB924YAk/WLBvVAPWWbmkGHgJhJdpBO/UjBU8dic3QQdWLV6oYOy4rtT8OAHvQ5jAp3ACn2JcMfa7A5/DGVUP/35AgHmMn5EQ7Sj2VvRIR/q0Y8qFoO8GdPSA9rU9qP9YCl/bA6V5Ho6BWql+tkYDB+wpAByaypFoFR6kdNZHlBCo/zMYDo3SfM4rSUelg0ZW8Dtux5QR1hnCPl642W3NNsYUsNosfPp7VAtw04VptyZG7dbC+M2octToBf4OK70QSq/crzbLppJ3rZ2X26NX4TCl6SLqyrws82UOsjxjtBNhRk+UCjsZVqpXOHbc4N4gUUPzOxKtwoOUzqKJuAf0tXsATszETQA4GGGqNopR1cYwUDM5H6hso3kf3UulWB5Piz/sD+vlrlvv3uWuGAOJrGngeff3WmV5ONHFSvUL2o7rmZMMzUlWWYHSmcS4tiHKSjBTQtuGx+Vu/c5MxqHYPN29HI5Fk+89o30IyAdhqrILnjtYxb7MI+h6BhYrkMFxqjX1kLsxvyEtkDY05Q+EcDVdkE246lQTbVk9KUIs4kiIxOl0KJanpihr04p1s1seEO1qWIZcsYTM2uzUp0xybz5hbYWn3qv/XEnN6O4j48kaiQ3UpB06dLjR4KHpHIlW4UFKZ43ENqaJz7jemGbJhKpt34EqMqevQpU0pwH68UwJ95p/2JSQLJe3JG8KiJ4hzMRUZKJzQwISae1nXHTEInTPKI7YckYzqmrEpQnDpQmHSwtf3L+iRpige1b12KSglhXCZr1Z0f6GAA5x6n+MYR3+xIMsYt1Mnywx6pNlkY67EiHr1qINQhRNNGKxeXo+7N+0BtV8ObFCIMbNtCcRTnsSEbWbVfcGlGrdYcRQxftdvS23i+PbzWn1uHh5fjgs1zOmWwuBCARhCAThpFuH+5NcZ1Kp9xaDCSZVGuImJ1lUjDHFyb3ZnSJCeh0rxnTKfXcMU8kZKJtyFtWxYoMCsEMHj34SOjSZI9EqPEjprJCIR/zVbAGcnIknPGILzFVaIUi2AAA1D1tA9y6y7wNhnv3L7tRUnr9/KbbTFr6QgG5M/Y8NYcAmhCoHocFH6Af1zAliC0yXJOF0SRLhrmTXaaFsNLl8ihaijavt8m5/WJ72IYeu1j4kkMYzEIn3Eh/LVOqLKfP6cdizsFKD7hnGDaoeEi80gyPRKjxI6SyLiKonv9pngzMzUfcgpsd0uxKCSjJBSM24/vPRC8SU9Q8CqY/F02YVoC0Z5zolfbQe5CzzLn+W+Yn6lLMcCJydvlbMnr7ZVK6ehgxN7ki0Cg9SOism3haQyfVbAM3OtC0gQTpg/aCyApdbgEZqnuNX+hc7SMU9FPXhu710F7sUXVrxa60zH1XnERjytOSEfvQjsSFfyA7tmR20hqVhWKWzPsPlDq9SRNLyKCmXExTRRbV4/9ysD8vn4kBnK6jMEzusV50vdphK6SNYU5WG6dVBaMhU6AcN6SIaNTSPI9EqPEjpLI6IuohfrYvQpExURYijkoajkpxSRQCoqOwBXdifm9z3lNPmKJn7XqN53C+eTrv5SASnJ8AISENJjToCWGDjAgYpqQ4wUGGDBmy1f1P8rzuXA7wFMMRPmS7DwukyLMKV/m8GDPJTbZVDcP14AGwA626z3Rbu6XcLVIigMvWAhHQIquidhoVE9QBkliZNgWaaoXpavKrPnuN+t6u99buXw7qIkGsoEbshDbshtQNX7Psogu6na+EChF4N16LDq/5/9s+LV4fiYfFqfsAQ9WA67Aqnw24HYNQGxClU9h1goLzwsL4Wrxq49qcat7nhar+Ngqt+UFmB0sE3LlxQ1XdwgVSbEVx3L8dIy6v9OBov008+dRqlp7E1vU6hpu/woo/GC7ya9TU/XEDb1w8qK1A6+MaFK6DtaQdkDNe6eBNteQF1Xz+orEDpABwXr4C6d699A7ziLC+g7OsHlRUoHXzjno4wK62Di27I28D1ctpsN6dNgXJibzkUEU8pDU8pcwen6BlpCnV4NjjRxRYbnPb1uuouK/zuuL8/vV0eCnMZZj7AFGK1lGG1VOIci7H78ggFiZMOMNqgbwB7Wm52p6KpW1UsfvfUXILbLLctZDMChggKZYgm5ZAPKkg03QwYvC/YApYis762sv7lZfPc1gCOZdYrlJakTFqScu7xqeiUhILpRx1c2Kx/Puzvi2NT5ytCyff2u2ioDKujnMwjFT1TS2GDnmGH8Xj8EQ6jQtyNMtyNcgx6FZ27UdigZ9hhtHB1/k8cd1Eh5kYZ5kY5zI2Kb89jC4Jhd3EM1yKivwgsifpBZQVKB+CoeDFsSTDsL47xiugvMmBI1A8qK1A6AMfdjthfZNhfvMBrEWWBtV9Hb0jDDyrHY2SxDQnNsOXFsMc4Bqz1gBaRVhiwvOoHlRUoHYTjrjDsYjPsMl4AFsNlbL+NXl+GUFWOh81iW16aYUOVYZexgSuey9h+FL2sWGUFSgfYuMsKMxEMu4wNTj/EZUTEszLEs3K4CBbfTg1YEqBy1PEHuYyIlFCGlFCuKRGdlNB+UwK4jA1g8V1GjSgJbSgJ7VASKrolof0HI3AZWz0f1WXUiIzQhozQzpGoo5MRGut4jl3G/Q+JMRIlLA1chozQjqrX0ckIjckIjl3G/XnILI7HqBEfoQ0foR0+QkfX8xrzERx7jHsiwDg/WoiO0IaO0A4doaPTERrTERz7i/sfEl9sP47Gy/AR2uEjdPRMEo39RY79xQu84iwv5C1q4y1qJ5tER88mgd0lDFy0t7j/IfFFoZH3Y5pLCKe5RIdfXLywVc+xs5j8iPhi+200XMam104yybTWEjfBhW16jp3FfRtfjBVe1MiSNx04hNOBo4MtKkwZtuQ59hX3Pyi8mCFbPjO2fObY8v5uGLMAhm15jn3F/Q8KL2bIos+MRZ85Fn0W3aKn+yMPgAFfsQEsvq+YIYvetEkWTpvkDr6oJBeu5NjB5bHoY/qKGhVz1KaYo3aLOWaxzXntFp0boFJZgp2fGqb1y+rURn96DfZ2+TDj5XKNqtNpU51Oc4eb91dCnAUrZG0ZrGjXx2JVm6abXb26ZocKJXKZGmaaOzSzv4jbLFAhQ8tABe4cDFDVZlax3XeKa260UB6XqS6mnepiOnp1MQ2rixm0wIWDAS2KtpkRMBSGNSXGtFNiTEcvMabpNgUWMNrvsYC1p6IB6/WhWWTFz/MBhroWaNO1QDtdC3S41NjNgCGLqwXssiVOB9j9ZttUMb/bn07bGHEfVJNNm5ps2qnJpv3dA2YBCllaBihaxz82zds7tGLAhMJjpq6UFsyBKTpnmns3IAf1o8x6Oj7u39b/eiyW6/nN0Ry5O7lxd3Jn84WLR928phDB3IEFqtL84eXpOUIhRI2qa2lTXUu71bXy6O5NjjjlDiAOjdC7IsICQixybljkXDgLKCaLPHSUInvLDRAp0JCi7e25OC1/nhWn8Ud5e3vZfnQWuZv7SLbjBvpIXtP0ywqYC9dZJtTF3XBTPyiXF09sFxkXXHO/O+d5etF7pr/dzaTOhHuqnN/t7kSGm93dcKGJOe9HR02N20fSzJe3j6Sk+0iSt6Fl30xSus0kh9df0elN0i283E5vzDvpz18+//nj16/1O35d+FrXDS+kfpQ07bnkqD3X6IfOUlZCJsiB0k27IAFiuGf0xfql+G+u39QXOclBx5408Lz/+2xCl3MrZdsn9ON6enhT7lmLelZZgdKZpqidzlNk7Ji5AF1nlrvacX3qnIt5z6j2i0iQ0s7I6QRKB9V5Sm1I/r4e/r39+f5SG70QvS03h2J12vsbJekkEb6KV6zeDZ7FrLSi/7zvBcL1hHJ7VmqoZD6M6yuxgdFC8zcSrcKDlM6iiFZiQ6bODE+pUoxmZlKNjfaNNEppZQXKiXDHVRHIbTSfQQcWu4oyi9Xj8ukugqnffhUNIKusQOkgHhco5AsZoOiQ4mpf43J442sbdAtMwHqpH1RWoHRwnVGbcrtg68Ub1qYg3vNQ7IpDE7cwRfQ3uwe/Yk2VIjXfUGQcVEIzijWvlaJHsQqR5uFqX1ZqUKzDuEHFSgKHpnIkWoUHKZ31EVGxiusVK5qZiYqVcnFblERlBS4VK43UPAYvrMRg3kcbWe6Sn1B4+1XKFd3pZ2giDgV687eWmGD+9lK2lfgwsGduqBhhOzeysgKlM5kzKiM5mmR/96Ve6OqZeUu7JTxJPHWVX6XSW1c5A11ch35y2YRWmYOUrWs6oX8uxg3N5Ei0Cg9SOssjoi7y9CBDddTAtExURVSYtwVJVVbgUhXRQM24DdToBVM8HFCofr08LRe1W75q3PLAeVy/Xntqm6YCFAI09ZezFBTX7PvNSlD596yy7yA1lGAexg1uARIzNLsj0So8SOksmYhbwFPZF7ThQxMzcQtQ8dUWpLyyApdbgAZqntMY3nPt3gc6DmyLh1D93iTNfM46ft4Xx89Z2Ka0UoMaH8bF80Ben23mwVyflc71WRm+PnuVymEjvzXQzqAXCs+CxxDiCece8z/1sio8EfQf9+XepZ5gI1mpodLsMG5I29BwoQkciVbhQUpnVcTTNu593wna5iZOhbzB22JkOBVGcioAp6hUAUNRQfMZtN15sfovjM0bmAKGHCdmHCcmnNUzo0r2O0iMZk6eX+62m9WiYU82q2Kx2j89bdoAAZEj1Ie//J0h8fP+7yVdDPlcRQ9SQ3AgC3aGbDGg8TfOEXOcIxZ0jqbjjzIlO/xBoe/latV02giaflkOGlKngef930sRNu6slDXu+nE9oCMTnRkTnSkH9NiZmJKhTEwzF/TBeDkX5Ol4i35AIUNmQoZMO1DFzsSUzB9I5KB3MgnVrKoUxfmYifMxJ87HgnG+6VsZ5VsaTGhXbrl+UxxOm8aNe/3sD1kxYKSm3qd9RsCEA34Qst0nPD7a8KNpwI2bwXIH8NhpnJL7vQxOR02W7aWPxfPj/rSfcUFyZP5zY/5zx/xnQfN/8oLkfkOf02f7w+a4uH/ZresFSRv4ysuYwcfdX0suw8f4IDTY7/2gHqCRCcqNCcodE5wHE9CmA+2P0wn6EH8qltvj62J3qvf/crPzxPSHLewzoMDTXnWAHh5nLTp6ocF4YsHljWKB3MQCuRML5PMSapxZD0JM8W4FfYjXFuzzcvdu8VQUzfF0fH3/smrCgoBSZkx6uh/79TRnIvNxykyBwc/napAa9sgwbsjHpUFD0zgSrcKDlM7aiNn3GHzG9X2P0zTcFfU7QPXsjemgXjT39YAfj1Dgnk4oNKHAxS2EAkfBc26C5/yiEYoHv1m0vMr8zMFFumVfXvR5u39XNE7ybrXZLv7hw1/Lf1ocl/fF6R2t5vPE57PBx0Z7yCR8vg5CNvszCfhr7a+nZqR+UFmB0pnCmIaeyhB3kTcTkmegSNvL3XrzZtOxFec5DbOZfe2n0WjJygqUDrxx070lh+neHWCgo8rx3fFUPMVopzL+Lm+i73nGdweeL+N7mh0xGn5C4vd35gBf2A5Cq9xN2+4TMLILU7E3GoTIJEj25hnnF9UAnPBbIzEYCu1YoQmhMr3Pp8TN9Dbz5M/0FnSmN6lcRDV6evGmKzO9U7prgpvpzelZXn3+9O3Lh3qe9+XHLx++/fLp34KZ3inZCaH+UanphJCmF5neMZVA90qSo0hSfwL4crvdr5anYr2ImH6c0hHLBq+8sgKlA/AsZ3tK07ANLqzBRdJew91y91OTZ3l4KGqPobi4T9x3FxXMF2LHz3vqG2XEnVPfvdRA3gzjYsxpFrbG3LCwqcPCptGL+6Y0tVhPRcbrqdA5vUTXm9XibrlerIu7CEuTphUbmLLKCpQOrnFhQjs5a9oA5iCKa3dy8fNqaVJfiZV7C1ZoGxtGMHUYwTQ6I5jSjKDFCjCCA1bH/cthVSzaMjHzLy6aIqwBMxRh6lCEaZgivBkwkkQZAEORkAGw5+2yRioWXiRZ0eCVVlagdACOixdJAFq8QgvsUDSh1P3mYDGbES+Sh2jwYpUVKB2A4+JF5usPeAGSzuK1rb22aMuLpB4auHhlBUoH37hwkcyDhSu0vJ6K5oJ8LLyA7V4/qKxA6QAcFy+SGBjwAtacxetu/3Z/fx8NMJIbaACTlRUoHYTjAkb6Rhaw0AJ7s9y+ibchkR9lChGlTiGiNHrNppRuzz7gpYIb0tSYmx8ssl16A5Zpl55K93CMfdE1lehwbFmnBDXPOWOdZgQInYbSnIbSOQ39Pcav8TJZgmz2XLX8G71sng9NObTTu6bgAnAxNWPg6nQaeN7f2ZLgnsNZXuUg1YNtx4WAtz+aArx+UFmB0pmhmCuSuZdO+yzh/wIsCKOvp9ZwmeupLD3fwB18s6xPLUk/qcHldhakNoIzOnU3DTw3S1RIEWZBrFSPtx0XF6+RwAOrH1RWoHQmKe4SJVVFPRUtC5KDi2vrt8d4LAhDBB0zBB1zCLoOtqgw0TcKGpiuZkFmh4vO/K/hMpn/jLmrKrZfz+g+UBau35QIYXQWeQOYUX1OHygWvXEWoxsbDYD9pkQIIxsctXixygqUDsBx8SIde4vXb0mEtB9H48UrK1A6AMfFi/TsB7x+SyKE0dcSGrhEZQVKB9+4cJGOvYXrtyRCGH2NoMFLVlagdACOixcZ1hrwChIhj+/WB1eBzQgYCD4xE3xiTvCJRb8CwOjgkwXstyRCGIpCMROFYk4UikWPQomAvv/tiBCBlL0wyl5cKPvo9YVpsHjjWTXVFkFkc7U/7JpyPsvdu9pKfV6+a/zOGStXI6C0AUo7QInoal7DO3pK+srHL1c/1W55vOLx6EDU5kDUzoGofwBSKAXOIAWKxxuk4hWPR2ehNmehds5CHf0s1PCmnYEKFI8foIpYPB4dhNochJq5HYPjt6SGXQmkr3j8gFbc4vH0jbgGMNObgLktcKP3JoA34gxgoHj8AFhXPL6pGh+jRwgyHbQxHTRzW7tGb08Ar8u1gPGAkp8fIUBuaZO2op20FR3fXoAX2ZTyHIPr4rh52EVtooLoUpOwop2EFR09YUXDq24GKvocHKCK1kMFMFrapKpoJ1VFR09V0fCumkGKPgYHpGK2UAF0ljZ5KtrJU9HR81Q0nadiwaJPwQGsyB1UkOFuElW0k6iioyeqaDpRxeIFqlkZvKj+KXPihcx3k6iinUQVHT1RRWTe9cX9amv+nmvIZc6My5y5Cyq20S7gnSulPUfg/vRYe8zxTkBBX4ZqkDLdHJzLUB1ycZGCnqD2nIA9UpEOQEHfg2qAMs2AnXtQIuo9qO4N0A/UngOwByre+dd+GI2V6QScOZ2As9heoMigF6g951+PFd33fUbAgBdYP6isQOkgHBcw6AVqzwHYAxb3AGw/jsbL9ALOnF7AWfRewBl0AnVLidI3EgfWeLlbLzrwmlrec8MFPML6QWUFSgffuC2NoJujPRc4W2wOXUGDGNc4h08j0cpNf9vc7W8bvSFw7u+6BoKrxc+nGqAGquXDoYiT5dV+Go2WaW+bO+1t8/jN1/z9xMD19uNzsdrcb1admbWK0XoNWaW5sUpzt7NYbDdH5NDWaqECYdVOUZ2WPy/vtsWibxt5XG7nNCJyZHDlxuDKHYMrj26Z5tDgyj02fF9bMKIVnyODKzcGV+4YXHl0gyuHBlfuseItVrHs+ByZWrkxtXLH1Mqjm1o5NLVyjx1voYpoyefI0MqNoZU7hlYe3dDKoaGVeyx5i1ZUKqv9OhowY2rljqmVR68il0DyPfdY8hawqM2A26+jAKsfVFagdBCOCxi0TXOPKd8dij1s7WE4fyueBNim9YPKCpQOvHHRgiXjEs+heL/ZLXerxvOJdyy2n0ajZWq6JU5NtyR60eYE9ndKPMfiGK1IB2P7ZTRYplBV4nR5SmJbpzJBnKkBiz4Yx2DFOxrbj6PxMrWuE+HgFds+lQksgZ14jsYxXu7hOCNcwJyvH1RWoHTwjQsXLHObeA7GMVz10Xh2Ms4IF7AjpLlrJp27Zh18cVvT+YtKg9W13d/dvdscYzT5BJa8NFWJZOoUkw7fL7sZIn8x6ZROIn3bkIDHx+aSxWF/Klp2a0aYgAlfP6isQOngGrfmtr/KbEqX833aHFeL4/7+9HZ5mD9tRqI7KNLcQZHOHZQOt7g4+ZtBMlpBnafZbov62NvOCBMyE0ySrXSSbGX0qyeS+zsPgLtg5zDNvpw4oGTqB5UVKB1g4+IEtdMtl2JvwQipJm5UE3dUEw9yMdMrXcPDv0nakyjK/Fyf+q2+rlX14lA8vGyXB9Ky7EsgJwlPPJeFPQKmc0WSaBm+LjwSG6qm2aE9U4DsDG7sDO7YGTy61hOw6n03MyCsfTYz+7YVwVMxt9EvEFshDFshnCL4fL4i+ALWA+9wASHs566Jx4TFmqo0T7x977GAuRqvMxnuImmlhqq9dmAP9oj7EIb7EA73IaJzHwIaMt2UgCB5PyXRVikyZYQxZYRjyoj52jAJaLN0kNCHcQfJ2+OEVSoUZ97+tB6BvnBtlmbhppwjsaEdkB3agz6ykISxkIRjIYnoFpKAREo3KbTBPUxKtHWKKBRhKBThUCgiuo0kIIXSIeVWJx4hVRva22Lx1PQFWm52zUr+/eyAIRJFGBJFOCSKiE6iCGh8d4ABsnwE2O4Ub4EhI1wYI1w4RriIzqIIyKK0eIHW9S1ex+Vhedo/LBfH58PuodWVM0KF2BRh2BThsCkiemsuAf2VDiqQnEBBtX9zemoX14yAIedFGOdFOM6LiM6rCL9PAzqRt4Dt/+Vlczg8Lp5OreaafSMiN0MYN0M4boaI7mbQle8sWB43YwxWr7rmwwoVvpOm8J2Urp07n49BV7hrQFEer/ju5ei4xT6XWNeuqrf9GxYwI8iMiwmNhazY4BLboT34I+vZ1NWTTl09Ga6rd/NahUa18rjEzrTEOmQlsnelsXelY++Gy+JNX6/QsFUen7gDZppTzBMl6J5KaeB5v1iTfFIfm9xpFDeM60Ee2c/S2M+jfhN2JuKuVGg/K49HbCck2iJFlrM0lrN0LOdwBws1ub2beF8P/96CoPzt3ZTHUTZITfKUU16/llybefv8VaYzbyVDoZXyNjFPpuhhKzW40cO43l5kEDY0kSPRKjxI6ayO7+s5JusNowM9x6TjI2Uteoe251jq7ojg3EzrOyaR6yON6yOt6xPGKq7OgC6R8rATdidE0xnIJZLGJZKOSySju0QSukTKQ090UFl3OwY1IZE7JI07JB13SEZ3hyR0h5SHmnDB2r+Js7iQRySNRyQdj0hG94gUDLwoDzXR4UVwEzP72wqFXpQJvSgn9CKjp3so/xEOCAoasI6heJhxhSl0UirjRyrnFFTR4yXK714CgqIDzGEoBttnRsCQ46eM46ccx09FPxqV378BJMUlYPOzFAr5Hsr4HsrxPdR8Xp+CTob2sBTr4s11wXsu0wzEidKQgBmBJ0lKW9BnkSYrNrh/dmjPHCCnRhmnRjlOjYoeDlAwHKA9TIUzNbEMOoVsYmVsYuWEA1T0cICCtq/2EBgdXj2BsdzSq/gWpJDpq4zpqxzTV0U3fRU0fbWHWbBIRVtUyPBVxvBVjuGrohu+Chq+2kMtGKgC1MItSCGTVxmTVzkmr4pu8mpo8mqP62mRirWoNDJ2tTF2tWPsqujGrobGrva4nh1UrTf1NprvqZGlq42lqx1LV0e3dDW0dLXH9xyhFdP31MjQ1cbQ1Y6hq6MbuhpGOLTH9+zwGrtSI9dzTsBQiEObEId2Qhw6ekqPhp6B9viel4DF8T018g608Q604x3o6JEJ7XcagO/ZARbf99TIlNfGlNeOKa+jm/Lab8oD3/MSsPl9T43seG3seO3Y8Tp6lWGcYdeClfn0/XpzKFanvbG3Fv/w4a/lP81fFhYl22mTbKfdZDsd3aTX2KSXGLT7bfHzpik8cqwRWm92MyZBaWTLa2PLa6e4cDi/7qoooc7eD78+T/xRQiNEQ7RZLcEK6kODucpIYqILP6Vp4s2xTWvTmPn68KVM5Wk4FXwkNuSC26FD0UEaLjSBI9EqPEjprIp40UGde6KDrlUdmp5pwUGNPDFtPDFtPbEwVPOQehl2xdr30QbN2/3hp+JwXKz2T8/eFc9TxWkmLg08N3kcef1/4TyOQWog8oZx8XRkyNvLjLeXOd6eDnp7YdBH85olo3llU9QObSxtN/fFYrM7vhyWuxW6omn0Q8JSMrytzAL3JiakqUh8Gf71/sjpS1VnymeQGnTPMG5I9dCQoUkciVbhQUpnZXyf6mmmPQ+onsyZZtmit2xVj8unBSZmmuLJIEjGU89SSvEAoGbcAenoBXzKDqCt38diuT09TtwDIlOJInVKhzVj2ncbS2QZF77og+DJlNkaiQ0JOnbo4EYgkUNzPBKtwoOUzsKJuBHYtRsBTs7EjYAomMxQMBkjNwINVMhKv2orsNErxJStQMcoRJL+9PpQnGrnxlN5srNnQolo+LlJRBNMhe0hK9WvcztucJmTqKAZHIlW4UFKZ1nEMzXdKu0TEtFuzUNDpdilKcUuR6XYw1DNZGpiZ719H6iI9nLyO1UcJPqm3qfGYtEJnUV8ZrD0QoNxmYcuI6L67tLUd5dOfXcZru8+HWbMuLUw02GoN8sVLgbWe68qZb4rBB6BfgSR8/Ct+pHYYCLaoT2oIzbPFIuXTrF4GS4WPx11TNu1qNMhreNm9ZP3ajgTXoMcPjfeU1Ib22HvaZCyF8P7cT1gIzbQVJuXTrV5Ga42Px1sP4OV00Gxx/12s16+8+CdyTShl2caeG7+XggRxttKDQfiMK4Hb0SSmeLr0im+LqMXq5ew+Ho9DSlU6PdYod/AIaJi69IUW5dOsXUZLrY+eTnmkENpKleqi9VgNG7xuFlti6ZU0LF4/fxyWD0u0RHHM2BopYHnvR6pH4XV7iA1HHTDuBj4HLEouWFRcodFCddtv8qHzDsntUNa+g1nI+Sdjrb3btEUm6PnQgmuSPevc1C886SEYD62S6aah+0RK9XPkx03ZFDTaKH5G4lW4UFKZ1FE8Rv9n+HxJ113qZuuVyxJwjUpvgNV5GhehSrpjAL043npbtOICV56Ai4wTXNeUCsIaVpByJykqwCAcQOQ0NhuPwMkUMTq0okKVWhTqEK7hSqid4WQsIdGBxDzn40hRu8GgwF10JCmg4Z0Omjo+EUqYAeNDitOY7XdrBpkXjcJOPOjhHgE0zxDOs0zZLh5xnSzCvIFLRyShuNheazt/F3xer0pjgXaZOa8zbX0ndf4ufn7poBW+LwepHrU7bge5BGFkBsKIXcohOiNOCRsW9JOiAY1x0cGVXNgpMnibrn66XFfzNoCQKLGJdI0LpG5q/uCzv/NeEFOoMML3Lsx6Lxa8Ivj4xZ8kL9umpVIp1mJjN6sRMJmJQYfOthzOiw32+IwIzIo6970JpFObxIZvTeJhL1JDDI093++09YvT8+Lpm3XTzNvNEREmOYk0mlOIqM3J5GwOYmBi/b4crW43x/WQ/OIFqsZcUKMhOlJIp2eJDJ6TxIFe5IYnGhqOIuKk0KtSJRpRaKcViQyeisSBVuRGJxoMjeXHU7Pm9VPL8/nbRBmhAs4R8r0IlFOLxIVvReJwr1IOrhoOrZeVg9PK4vWsagtt91yvqLZCjUiUaYRiXIakajojUgUbkTSQUXnXl6srPtNsZ2v96JCTUiUaUKinCYkKnoTEoWbkLRAAcc65w5QQ5Ob+bLsFWpBokwLEuW0IFHRW5Ao3IKkQ4u2zPsDcEDrqTjNaFgp1HxEmeYjymk+oqI3H1GJ3yQH1xHyrAOqOK72hzl1ObDJ6weVFSgdROMC5LfJwfWDPHdW0vN2OeuhB0z0+kFlBUoH2dkyxOvhB2pRMx0OMtRCJE5tU7c2LycUZkgTTd9xN6nIjHlTdxgHOW59RCjJ6RpV5xGhQWoo5TeMG+DEAWRoEkeiVXiQ0lkZ0VJ3VJp4UndAljicmknsd/tKEqbU2MOptYfDUM0WaKtf27wga5pWaO1PV+6FaP+92BbPj/tdYa7cNPvgsCtQqlqfyVDvB0/ishS+uD1LlTfulmZT4vZWatgNw7ih3UCDh6Z5JFqFBymdtRM57kZ9xvVxtxRM2BVhN/Aht4NKhd0Q+NHCbiq9Pktc5Tckx7YvpMEznmVKhd0QgDMqnnT0An+WeC9EKp5Vsd22d0j9V7QkHYI36zZT3lYdTCn//awcHMvn17N6qSEhaxg3uCdIsNC0jkSr8CCls1Yirv3rFQqamIlrHyoOQxWktFKggYpqoaeIQjCfQXPDh+V6s589Pth+DI2bYQ5ShzlIZ9YNfDQB/uyfXog2zLfF6nTYrHqEFncvmy1xy9Xk+SXcc4FEgGY8JodQ5L7bIxmb0MpnEBoSCPtBg+qBxAvN4Ei0Cg9SOssionoQ1x6NaE4magfE+KSG8UkFqR1onGaJjqsUUT7mfTSXP/RJuX9pu836Frlmvtg4fDzcNAQFus8dzF7K3g1hgch4+8vp2TC0UurQSmmQVrpO58jRtPrJgF4IZCoc7pYPgQubPKFbfxmLLwFN6ow5IhLlq5Kesil18qzUYI4M4wb1DYkVmr2RaBUepHSWRER9o642xdHETFQ4iBhMDTGYUmWkEVAzLn01ekE2ZenTsZ9j8bbw2+Ei9a57b5qtqK1lz6rn2QTNNAgNlzP7QYNLnsQIzeZItAoPUjpLJOKS19d7nzfURlCorbQybaXVqK10GKeAAX7dmtejV+RT1jwdxGvrbII1b4yU3NuhBT7u7zUn2YSOpYPUsLBzX2+WIBBo0kaiVXiQ0lkJ0Tmsy8+43uWchvh3wAqd0WtgpR1WGv6IeiS7Vo9IngD1PVGTgPwkZTqvq1Hn9TCCUV15hvJxus/I6CB3gDC/wZtnKPTATOiBJc5ene0SlWJQqfIGC5Dtu97vyPB+HzVQmbcNNHze/73Iw/axlRriAsO4HqyR7mSGbWWOXmTBPJ6rjjXWUVcduIFwjhGiPcrNcfX7RfH0vN2/KwLOTE4bxebSiEzAJbW+Zzf4836ylJxQG8JK2Ybd/bghTU1DhiZxJFqFBymdlRFPIzPPQXeRKBKammkqmaEDjRl2lZGHFYBqxj3ARi8IsIdGiHZn9vent8tDsXh5fjgs14HbnFlGMyfGjObcW3+GsTT3eTdSgivhZ1cSeqFhEwyjBjcBiRma3ZFoFR6kdJZMxE3Ar3Zv4LxM3AOIKWeGKWdURQ6EVFyzRHg3Aah++LR8ft7sHhbHl+fn7WbGOsDt99DQGfqVCWfxzFZNQzFIs3ZYgENx+fz6+HJ4U7x7vdqc3i2ei8PTJpDhwDnzdTzEz00xHs7IBInzWjy9kM3n6Uf1wI/4Vmb4VubwrWxevpVJuwUCVcJ6IVpLr5brQH3ORCV01lWnA7j218dL8sybdcXTXIR1iJUa+FY7cFA9k2Ch6RuJVuFBSmdNRFTPVxOucGomamdEuDJDuDKScAVAzbj21egF/rJgvRC59u+2L8XieFr+5LfQM61IO8+Ygd7chzxh9OPBl6JL37q+VHbuSw3DBlc+CRWa1JFoFR6kdFZKxJV/Ne+KZmXiwke8KzO8KyN5V4DTTGcuuv3Wvi8D90xfdpv7/eHpdXP5d+evGMZBnlTqf9wf1KD849k67oVsKZXcs4yHn01PhSGuWOYsxeDFuumQoxt0HeTgAsGxWL0cGvvGe8lapyAnKg0874vXyAkxyl5ouGI9jOoBHNzQqx9UVqB0ZmhG5Z4Pmyirfd2gcq+FyGn4w3K3Oe0PG1hSwixcJmigzQkqvQnlLGO+vJXaZgHPz6ZpkLKOZz9uUL+TaKH5G4lW4UFKZ1HEDj8Qn/EdKbTfm+0Z/JDbQaX5HBr8eIcpT64OPshbeC6O+HNu+HNOpu4D/CAu0zUMT+zIfIqG4bSG2d/fNzd/e9fe70TJlFbY/bKlC76bBtwMJKT0CS1Z4k3k52k6IetokLIJLf24oQ1DI4omfSRahQcpnZX0vRtjigYiPuHqYsycjvhPuCMDp/ka3UX/hNungtRdYMoi6q6r0/9fifyWnCMO17EJSHEy/R8AOJ+VxG0UIBNTdJgAxurj/nmaBmM5o8t8GpwlyOA1llKmQAsW430INaHosJUaLKVh3ODGIBFDczsSrcKDlM6CiW0pEZ9xvaWU6+9MTQp+yO2g0tqGBj+itrle+YNkpInKBmJnIoJ8Ki7RkzQ4vG/RfQYdAWh0zfK+OL17fdrva7+sv/g7X1SEo4ASNwEl7ly94LOVZlPcGyHKJK2Bnw+b3akJEfnNx4QHemCB531OM0vDu91KjRpg8VDmOUeBKG4CUdwJRPFgIOq6o1DY5a+mHIUKTMT+eAplnishpC8UIjkdbjKVbnWe+6JVSssJGQVWaqh0O4wb1NckVmj2RqJVeJDSWRLRD8HLz7j+ENRgQq46BMkPuR1UWtnT4Ec8BOW1h6DgoN/BxFMQRVa5iaxyORGYmU1uG9bK9BQ9o720QVfu9nVb6Nyvc5S3O1mS+Wj7puWnT+OoJBwgHIR6fTMMGtwZJGRockeiVXiQ0lkxEXfAd1x0AZMycQeguCs3cVdOxl0BUDMZN6gETvc+kJW72m+3xUOz2DdPdy+HY0FYe0OTTl+eI3xs3McJ5yZ3Ts1hSM9EoDggN3FA7lTY4eEKO5MB98f7Mlq5NHVAd7U1+fq4emxNbF/ET4P6H6n/cd/XkE0I+VmpIeanfdVBhp9Ow25iftyJ+fHJxTQnYu8P/GWghsth+QbWVh7idnpKzwl9pdeDYnbcxOy4E7Pj86WoC5iu32IFeqXu9rtXU+uZm9UqNfP6QB6BPtEokRP08khsWLN2aDwJAsU5hIlzCOeeAA+W7Jw+CX5LBCTkrZdPjcNzLE6nbauZX1s9DdS0UKBCVup/3Ct5PUFl9ELDXax+UA/2yKwQhqYVjskgotf/FKj+ZzslOcjXOG3qqaiPy2OxPKwe57/MIpBnIgzFJJzqn2I+E0J4OaMcpFPcLdeLdXHnzxN9xZMUJBGmIQHeB1/YhNDxSKyHfDS0B3fESwnDSwmHlxLRKTzhpatyUPWxu9myfFk3mbsNf/c6SkFfgUglYUgl4ZBKIno5UdjVxOAFCrMXT8+L7fJuj2653gIS8pRNZxPldDbpQJvPIxbW4chTFfaI85Suv7E/PRaHRbOyiu12uSv2L/5Q1Ks00YLerH0DoyZa5VMHKU+ENyD1KlcsCdMYI7FBH4zGDjnINIJoTkeiVXiQ0lkosfk44jN8l6rc7dLPXPa9F0qCn3I7rCQjB+CPx0cITzZsijt6TbgB5VE1yBMWxhMWZEYswDCunoaOs2jD8XTxjcPHrx+//P3zL18WTx9++fRtUfx7+fHT149Nwfq3M97aEci1Fca1FY5rK2L3iVACOruinTaa2dkVbxer/e7Y9D1o7hq/mhcm5NAK49AKx6EVk9tETLNVJfRqhcdWHUB5OXaYbFbIEZpSYUhehZlE/qc0/qd0/E8RvWWEhOZAhyK4OPq43G73bxdva2tgxjUl0ckqjY8onVNTBn3Eya6PhM5gCwSjbe3i59XyTXuT//X9ZrtdPDXFUpqE5lopXaysPoufDhYMWfzgcZ/jk4XDYYOQzeJPA32R299PY2/cTum4nXI+t1NCt7PDnrbbfdhfaLr+ohyol5z6H/dd1+WEIqi9kL0EJ4LrHrme0rie0nE9ZfQjWkLXs5sS0Bd8/3JYmV60Q0lKaivcoiSQ3ymN3ykdv1NG9zsl9Ds7sEAxMQDWnKe0RP6nNP6ndPxPGfQ/bwYLtbLowOK0om0bM0ReWCimJ01MTzpdLWT0rhYShvQ6rGjFOMLKdFUbEJt3cSGPQxqPQzqxNzlf7E16XYic0/qpYW0Pb/abw4SV1JfYB50yU//jPgKHcmrPI3C91HBm9MN6wEduijRuinTcFBndTZF+NwW5dXhOZl2syF+Rxl+Rjr8i5wvAKb+rImj/rWmoeV9b2a9Xh/3x2Hgtu6J15IBp41+o6HFfGToc88zc6HwSXKQKOTzKODzKcXhk0OG5iv5UXZJ/h3KgWJQRIqeiuZs7WWWIRPhuo7/iypeBWH9G7guR6iQHafxnBTMGqSFEN4wbouZo0NA0jkSr8CClszbiUXDKcw8FMHBoYqbxbwqCZJxXRd5DAUDNuAfS0QsCZUiM0BV7ADhaKksTT7GoV+DGj0nCrTWNL68lT7QIp0pbqSEJdxg3uAVIzNDsjkSr8CCls2SibQHGMw8NDa+cfP8W6F5IodQ8qUYil7uAxmqm49dP7Qia46rV+2J5eF6S6ztP0T2SNPDcnBG5ZGGy30oNVUWGcT2KCDE5yjA56pzJMXMyE9Z+KkfQdnnbwHHyAcuEBiVZ0sDzntrlYewHoeEe2zCqB3pE5ChD5CiHyFHzJkArPtpGgTrnRuia+UCsWi5T7on1Ku/V6PqPc99WySVPwwaPlRrMUztwUN2TsKGJHIlW4UFKZ3VEtHgE1vZ0EjSYmIn2DuLhlOHhlCA1PQ3TjHtAjF4QqHtuhDx7oK+IeSSok/5eLKrG23d4Ytxn7XDOBEjTNeou1YLu7XVO+lsxS/sPQwe3AIkamt+RaBUepHQWTcQt4LkJg/pvodmZuAsQwaoMwarIqzAAqaj0jPITr6BS9R9enp6Lw/H1YXNs/rXdrGckZRSiXJWhXJVDuaog5XqdrlB2GmTgwpARoqma7f7t/v5+sgUjWerTGKja4qQ2IbXdEuZyBqGr24TQkKFJHIlW4UFKZ2VEVBTf4RlNKIHpWemIK1eGK1e0X0QDNeMO0KMXTGHIQDn1x3frAxmhAaempC30nonx8gNpRvM0hiCbUFCzl7F8ezZt8ZNooXkdiVbhQUpnsURb/LVh7KkijbixW4iB7o0UTM2TaiRyuQFosGbbAM17R2+Ywo9Jmh+7sBdRRCnnXPvKtDAN8gB7hylRwBw0XL5UE7o/WCnrMA0DB/YBAg3O8Ei2mjBM6a6ciAeBp88LStRE8zPxJECBO2UCd4rq8wKxmom28YfuJE3bvFlu30yPi6Q5qHGW+h/35Tgn5HoPQnZNp6GLSQoFBpUJDConMKjmraap8tG8TuFsJM3ZgMlAXiuoANAXu/N7rKBSyXDtFLTYdK6dsnN6fhg2eAqTiKE5HIlW4UFKZ2HE0zzaU+QRVc68xVPVKBarTSxWk0UeAU7zrX89CoCpKRaooi3QvikslfgC4rQ5bUj2aHuL5oskoyNcfd0GLibU87FSNk7bjxvaBjRwaIpHolV4kNJZNxG3wfVxWjQxE/cBBMnEaTUZpwVARWVstD+YouhTuSlX0lz1W3SdPOZjazSKbmgT3dBOdENHRyjzc1qgjWvKa4xObfb6vBlxGeKzMsNnZQ6fpaPnprox4AGhXDUI5fR9v+fD/rk4nN4tTsuf52yJgwLEysSHVeakDGbBlMFbAcpRcpYBiN5k4+oIDT/aJGdtFw1sDWTzAZajUzs3p3buZFCFY7k3A4ZSL/M8y+t/0OEUc4M0XSzXf3g5nhoFNeO6ypFTlRunKneyIfPY1QV0QiaF52l3144lwIoxd+lng6b9Dgqa+kFlBUoHy6jQpKSBl7MfDU0KTIH6QWUFSgfLuNCQuSo5f8V1DU16YfSYHiKnzbbpZ3G3mfM+VvsxND6ssgKlA2gsfI4P7/+zef3/e3+iIfpxq2f8KRRAZ89LB1CDz/Fv/9oaz/W/v33+9mFSifzRuO/vCBD6sRb/+/n59wn/PyQSq8+fvn358Mdvi3358cuHb798+rf+Ku1X2k9SrNbsLqqmiU+qMtdKz00YKr24QD6UoNHistt4nxmV1I+zi788S4vqRGzxmXa40ETVgAWmqpEoL+fXzNfdrx8+/aWdpLO5aDTC68s3kkpXVqOnF29qXu+ujY9//PbL50+PHz/86eOX0btbapS+ANv/6eJ/dItA0Itg/bH88vGPv3xohoe0PX1fVVapua+aju6rjn7ZTNyAfF+P/z5JX+VJa8t72oiNhILW2rp4PhSrTXtxsOEHQIqZqpWJL0ab5lkihbfvfcaEt9aS0GxK6fuR2LDk7dBelgBCiGZ1JFqFBymdpRIxlTXHLMFFyZIJMzQxn5WkhmXFTNE2NiraFkYrcC5eszHqF79nyYSNMRK6dWOYupk5q2H1x6ewRH+nKssB9XZOEY/kLKFvRw8sfQASmtCRaBUepHRWSTyCLPFEqMDS903BNJIsIf0pWdUPKivgrnwEVlyCA5Fkuv6OVxpcvkWLft7yTxnJmNUwZoYxyxzGLJnge12jKOoXNLRlWFHw2RVFknjbjeDnfdbjlIqxVsreSuvHDagHAA2aLk6qBzRI6ayBKOphMLkch2iKhoDoB/XD+K1eE9f6PmG8fD7RNKtx9NoJrtFUqxjYhbTBIRJ1kUQ5XElgjF8+7DP2Mq4zN0XbyddrRexdhHa40PyQLs/ZDF24PHKCy6Nol4fkvlU1enrxpmtdnraE4PlREPaAJD3X+2//9+MX5ANT3hBdIFJVqSkQmY4KRI5+dMzDLxVk/KO2PrOWvL7wo8+qyt4XM1L77afQ8KjKCpQOnlHRoevKDOjkNJm2bW5b1yfbcVmfdfv7Rd8tdjMnWnRCXI1Wnw/nlHzp0IuLlkCu9X+BQEhKl31pABOVFSgdhOMCRjL8FjDa8qxRqYHaLbew//AtKJG8U4OSrKxA6cAaEyVG96FqUMpblOhw0Wa32j8VzRKaHSRGd6BStRfIKytQOqhGBYmuDs6SH6/HGV2ou0bHFOpmwvV/Y280RhfqZr9NDJvRBbobgFhlBUoH0bgAkXvMAvSbqm6GDCdmDCfmVNZm0StrM7qytgXsx6tuRtfTblASlRUoHVjjRvrJ3BGW/Gaqu/0iCqT6QWUFSgfVuHF+cinl6W8SsU3AIqofVFagdACNHLFVIGLLfjRE4+/xuqpO2DYZLSJIUUzD6QKYxgWe4NGOuIvv8WcRcgNoIbxIKuEMsQsqQdFUgm+laJpZIDe9rkZPL158LbOQkklNLpWgaOg3n759/PLx61CSGprnKUmr66p+UFmB0v3tMwVU9ft6/CY0pVm97YRMvAHVXgjo+FNxKI7+lh+pZhl9abKP0DElhe+mQZN6QD83l0IkE+GrTlbKpgz043pJYggYmsORaBUepHQWRtTy//RneMr/u4e7mTMpQbWOydX/4Zfcjupl9X+Mfrxgdeq52XFRq33YCkkubig/1r6UArB+UFmBKeDM1m5Zuo1JB/txBt0iBfeWlYHPzd/zSY2uuNvpyo4Lp0LS7VF1JU17VMnPSZhuaiIbYZo2wvhtk3GTHaZpO2x0sJ/bYXLcRfT2UJGeFiq65sy/WKVZxi4S3c4OP3r1qlRf1EHu7xVlMnW90/MrRY3AUPKuGSg0B6RtdzYLF7adnhAmymhjjjSBsmr09OJNVxpzKsu/I0yk6Xl+/vL57798rV+1+PPnL4vNpz9+/uvHxenDv+NAUfd64ifWDyorULqgxHXlYdT/N3PlSTuqRik397ByN5AesxnGMA9IS9YQ4csNx9Py1HTJjILW+NO8O+dcW3b4RfBas+/yWr9ve93kt2ZIt51hdqHbsmv91npUStV1//n85aMHF++cpOWcr2hmjA0fc2cGJ9fwSN/tPn8ifdTxAO6Hjx+V7o/0rTLni8lFx/67Z9k9BH5Vt8hGv+r7Fs0D/O0Plz99jIb58S+f/vjrh69ff/nzLx//dJqa0G+HJi2RU79/6M3jTdtvijLKHBUzyrILK8Lk7WeJcotc9UVNhWDZRWX9vupIKhLG3UjMecmRTmSoZdoNF5iMyw18/qy8mDxglew+fuvUy/bz16/NX4437MXD4ZUXT9wXjrat95WeF6LX9S+7+AbzvrP/Piy3lNxMRPinOC1+151Z/7hokh7IZfQqTYRm3gKHuZZ0Jcm8H0GmPl/tVZpKiaqWma+QGU90mOoZy9luj6Phx6ut+efX5l8fy89fvt19/tN/1P/j1w//8flv3/75f/7pw7cP3T+/fvxWS3378K+/flx8+vDXGveHw/7lebN72G6O9Xr7+4df/1b/R86kynW+XKssvc8ky1lR/095V79cMsW7BXcxynH4+9VapXcs5UsmCs7vs5USRbaWPFlxzZi6/PvlarV/aW9RmhGEYnqdZXdccJ7eScVUou/vkvt0meb1yOJihLvltqmSMAyw5AUrxHq9lHervLjnSVKPImujZ6mkWuX3FwPUS6hbQMMQeX6XrPPVmut1ca+Eyos7lS/FOqkH0WLdVVN+bWF93eFs5mD/t29lA/7rt5+//OXu8+e//PP/B9YGdsuvjgUA</instanceXML>
</file>

<file path=customXml/itemProps1.xml><?xml version="1.0" encoding="utf-8"?>
<ds:datastoreItem xmlns:ds="http://schemas.openxmlformats.org/officeDocument/2006/customXml" ds:itemID="{4D3BFFFE-0F5C-4B99-AE17-85333CDF4A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28</vt:i4>
      </vt:variant>
    </vt:vector>
  </HeadingPairs>
  <TitlesOfParts>
    <vt:vector size="33" baseType="lpstr">
      <vt:lpstr>Account Group Details</vt:lpstr>
      <vt:lpstr>Parameter</vt:lpstr>
      <vt:lpstr>Tickmarks</vt:lpstr>
      <vt:lpstr>CustomSheet1</vt:lpstr>
      <vt:lpstr>CustomSheet2</vt:lpstr>
      <vt:lpstr>'Account Group Details'!Print_Area</vt:lpstr>
      <vt:lpstr>Print_Area</vt:lpstr>
      <vt:lpstr>Tickmark_a</vt:lpstr>
      <vt:lpstr>Tickmark_b</vt:lpstr>
      <vt:lpstr>Tickmark_c</vt:lpstr>
      <vt:lpstr>Tickmark_d</vt:lpstr>
      <vt:lpstr>Tickmark_e</vt:lpstr>
      <vt:lpstr>Tickmark_f</vt:lpstr>
      <vt:lpstr>Tickmark_g</vt:lpstr>
      <vt:lpstr>Tickmark_h</vt:lpstr>
      <vt:lpstr>Tickmark_i</vt:lpstr>
      <vt:lpstr>Tickmark_j</vt:lpstr>
      <vt:lpstr>Tickmark_k</vt:lpstr>
      <vt:lpstr>Tickmark_l</vt:lpstr>
      <vt:lpstr>Tickmark_m</vt:lpstr>
      <vt:lpstr>Tickmark_n</vt:lpstr>
      <vt:lpstr>Tickmark_o</vt:lpstr>
      <vt:lpstr>Tickmark_p</vt:lpstr>
      <vt:lpstr>Tickmark_q</vt:lpstr>
      <vt:lpstr>Tickmark_r</vt:lpstr>
      <vt:lpstr>Tickmark_s</vt:lpstr>
      <vt:lpstr>Tickmark_t</vt:lpstr>
      <vt:lpstr>Tickmark_u</vt:lpstr>
      <vt:lpstr>Tickmark_v</vt:lpstr>
      <vt:lpstr>Tickmark_w</vt:lpstr>
      <vt:lpstr>Tickmark_x</vt:lpstr>
      <vt:lpstr>Tickmark_y</vt:lpstr>
      <vt:lpstr>Tickmark_z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Skeen</dc:creator>
  <cp:lastModifiedBy>Amelia Hale</cp:lastModifiedBy>
  <cp:lastPrinted>2025-06-23T16:17:21Z</cp:lastPrinted>
  <dcterms:created xsi:type="dcterms:W3CDTF">2006-09-16T00:00:00Z</dcterms:created>
  <dcterms:modified xsi:type="dcterms:W3CDTF">2025-06-23T16:20:01Z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true</vt:bool>
  </property>
  <property fmtid="{D5CDD505-2E9C-101B-9397-08002B2CF9AE}" pid="3" name="Refresh97">
    <vt:bool>true</vt:bool>
  </property>
  <property fmtid="{D5CDD505-2E9C-101B-9397-08002B2CF9AE}" pid="4" name="TBGUID">
    <vt:lpwstr>{9bdbbc98-0f6d-4fc1-9b33-bb40b408d1c6}</vt:lpwstr>
  </property>
  <property fmtid="{D5CDD505-2E9C-101B-9397-08002B2CF9AE}" pid="5" name="Workpaper GUID">
    <vt:lpwstr>{5464a2ec-a9d3-4056-8d25-ccb4cdc5971f}</vt:lpwstr>
  </property>
  <property fmtid="{D5CDD505-2E9C-101B-9397-08002B2CF9AE}" pid="6" name="Workpaper Type">
    <vt:lpwstr/>
  </property>
  <property fmtid="{D5CDD505-2E9C-101B-9397-08002B2CF9AE}" pid="7" name="Version">
    <vt:lpwstr>40</vt:lpwstr>
  </property>
  <property fmtid="{D5CDD505-2E9C-101B-9397-08002B2CF9AE}" pid="8" name="EmptyReport">
    <vt:bool>false</vt:bool>
  </property>
  <property fmtid="{D5CDD505-2E9C-101B-9397-08002B2CF9AE}" pid="9" name="EnhancedReport">
    <vt:bool>true</vt:bool>
  </property>
  <property fmtid="{D5CDD505-2E9C-101B-9397-08002B2CF9AE}" pid="10" name="LastRefreshTimeStamp:Account Group Details">
    <vt:lpwstr>2/7/2025 8:21:27 PM</vt:lpwstr>
  </property>
</Properties>
</file>